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uemsgrp.sharepoint.com/sites/IRTeam606/Shared Documents/Quarterly Analyst Briefing/Financial summary/"/>
    </mc:Choice>
  </mc:AlternateContent>
  <xr:revisionPtr revIDLastSave="30" documentId="8_{BCEFD594-F3D0-4F6E-9ACD-FFD58F8FCC82}" xr6:coauthVersionLast="47" xr6:coauthVersionMax="47" xr10:uidLastSave="{B9F74693-8BDF-419F-8C5F-1EA76FA03A5D}"/>
  <bookViews>
    <workbookView xWindow="-108" yWindow="-108" windowWidth="23256" windowHeight="13896" xr2:uid="{67DC1871-5325-42B4-A9B6-12C4E144C16B}"/>
  </bookViews>
  <sheets>
    <sheet name="PnL" sheetId="1" r:id="rId1"/>
    <sheet name="BS" sheetId="3" r:id="rId2"/>
    <sheet name="SoCF" sheetId="4" r:id="rId3"/>
    <sheet name="Operational details" sheetId="2" r:id="rId4"/>
    <sheet name="Landbank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4" l="1"/>
  <c r="S21" i="4"/>
  <c r="AD60" i="4" l="1"/>
  <c r="AC60" i="4"/>
  <c r="AB60" i="4"/>
  <c r="AA59" i="4"/>
  <c r="AA58" i="4"/>
  <c r="AA56" i="4"/>
  <c r="AD54" i="4"/>
  <c r="AC54" i="4"/>
  <c r="AB54" i="4"/>
  <c r="AA45" i="4"/>
  <c r="AA46" i="4"/>
  <c r="AA47" i="4"/>
  <c r="AA48" i="4"/>
  <c r="AA49" i="4"/>
  <c r="AA50" i="4"/>
  <c r="AA51" i="4"/>
  <c r="AA52" i="4"/>
  <c r="AA53" i="4"/>
  <c r="AA44" i="4"/>
  <c r="AD41" i="4"/>
  <c r="AC41" i="4"/>
  <c r="AB41" i="4"/>
  <c r="AA24" i="4"/>
  <c r="AA28" i="4"/>
  <c r="AA34" i="4"/>
  <c r="AA36" i="4"/>
  <c r="AA37" i="4"/>
  <c r="AA38" i="4"/>
  <c r="AA39" i="4"/>
  <c r="AD14" i="4"/>
  <c r="AC14" i="4"/>
  <c r="AB14" i="4"/>
  <c r="AA10" i="4"/>
  <c r="AA11" i="4"/>
  <c r="AA12" i="4"/>
  <c r="AA13" i="4"/>
  <c r="AA5" i="4"/>
  <c r="AA6" i="4"/>
  <c r="AA7" i="4"/>
  <c r="AA8" i="4"/>
  <c r="AA9" i="4"/>
  <c r="AA4" i="4"/>
  <c r="AA60" i="4" l="1"/>
  <c r="AA41" i="4"/>
  <c r="AA14" i="4"/>
  <c r="AA54" i="4"/>
  <c r="Y59" i="4" l="1"/>
  <c r="Y56" i="4" l="1"/>
  <c r="Y45" i="4"/>
  <c r="Y46" i="4"/>
  <c r="Y47" i="4"/>
  <c r="Y48" i="4"/>
  <c r="Y49" i="4"/>
  <c r="Y50" i="4"/>
  <c r="Y51" i="4"/>
  <c r="Y52" i="4"/>
  <c r="Y53" i="4"/>
  <c r="Y44" i="4"/>
  <c r="Y19" i="4"/>
  <c r="Y22" i="4"/>
  <c r="Y24" i="4"/>
  <c r="Y25" i="4"/>
  <c r="Y27" i="4"/>
  <c r="Y28" i="4"/>
  <c r="Y31" i="4"/>
  <c r="Y32" i="4"/>
  <c r="Y33" i="4"/>
  <c r="Y34" i="4"/>
  <c r="Y36" i="4"/>
  <c r="Y37" i="4"/>
  <c r="Y38" i="4"/>
  <c r="Y40" i="4"/>
  <c r="Y17" i="4"/>
  <c r="Y12" i="4"/>
  <c r="I5" i="4"/>
  <c r="I6" i="4"/>
  <c r="I7" i="4"/>
  <c r="I8" i="4"/>
  <c r="I9" i="4"/>
  <c r="I10" i="4"/>
  <c r="I11" i="4"/>
  <c r="I13" i="4"/>
  <c r="I4" i="4"/>
  <c r="Y5" i="4"/>
  <c r="Y6" i="4"/>
  <c r="Y7" i="4"/>
  <c r="Y8" i="4"/>
  <c r="Y9" i="4"/>
  <c r="Y10" i="4"/>
  <c r="Y11" i="4"/>
  <c r="Y13" i="4"/>
  <c r="Y4" i="4"/>
  <c r="X59" i="4"/>
  <c r="X56" i="4"/>
  <c r="X45" i="4"/>
  <c r="X46" i="4"/>
  <c r="X47" i="4"/>
  <c r="X48" i="4"/>
  <c r="X49" i="4"/>
  <c r="X50" i="4"/>
  <c r="X51" i="4"/>
  <c r="X52" i="4"/>
  <c r="X53" i="4"/>
  <c r="X44" i="4"/>
  <c r="X19" i="4"/>
  <c r="X24" i="4"/>
  <c r="X25" i="4"/>
  <c r="X27" i="4"/>
  <c r="X28" i="4"/>
  <c r="X31" i="4"/>
  <c r="X32" i="4"/>
  <c r="X33" i="4"/>
  <c r="X34" i="4"/>
  <c r="X36" i="4"/>
  <c r="X37" i="4"/>
  <c r="X38" i="4"/>
  <c r="X40" i="4"/>
  <c r="X17" i="4"/>
  <c r="X5" i="4"/>
  <c r="X6" i="4"/>
  <c r="X7" i="4"/>
  <c r="X8" i="4"/>
  <c r="X9" i="4"/>
  <c r="X10" i="4"/>
  <c r="X11" i="4"/>
  <c r="X13" i="4"/>
  <c r="X4" i="4"/>
  <c r="W59" i="4"/>
  <c r="W56" i="4"/>
  <c r="W45" i="4"/>
  <c r="W46" i="4"/>
  <c r="W47" i="4"/>
  <c r="W48" i="4"/>
  <c r="W49" i="4"/>
  <c r="W50" i="4"/>
  <c r="W51" i="4"/>
  <c r="W52" i="4"/>
  <c r="W53" i="4"/>
  <c r="W44" i="4"/>
  <c r="W19" i="4"/>
  <c r="W24" i="4"/>
  <c r="W25" i="4"/>
  <c r="W27" i="4"/>
  <c r="W28" i="4"/>
  <c r="W31" i="4"/>
  <c r="W32" i="4"/>
  <c r="W33" i="4"/>
  <c r="W34" i="4"/>
  <c r="W36" i="4"/>
  <c r="W37" i="4"/>
  <c r="W38" i="4"/>
  <c r="W40" i="4"/>
  <c r="W17" i="4"/>
  <c r="W5" i="4"/>
  <c r="W6" i="4"/>
  <c r="W7" i="4"/>
  <c r="W8" i="4"/>
  <c r="W9" i="4"/>
  <c r="W10" i="4"/>
  <c r="W11" i="4"/>
  <c r="W13" i="4"/>
  <c r="W4" i="4"/>
  <c r="V59" i="4"/>
  <c r="V56" i="4"/>
  <c r="V46" i="4"/>
  <c r="V47" i="4"/>
  <c r="V48" i="4"/>
  <c r="V49" i="4"/>
  <c r="V50" i="4"/>
  <c r="V51" i="4"/>
  <c r="V52" i="4"/>
  <c r="V53" i="4"/>
  <c r="V44" i="4"/>
  <c r="V24" i="4"/>
  <c r="V27" i="4"/>
  <c r="V28" i="4"/>
  <c r="V33" i="4"/>
  <c r="V34" i="4"/>
  <c r="V36" i="4"/>
  <c r="V37" i="4"/>
  <c r="V38" i="4"/>
  <c r="V40" i="4"/>
  <c r="V5" i="4"/>
  <c r="V6" i="4"/>
  <c r="V7" i="4"/>
  <c r="V8" i="4"/>
  <c r="V9" i="4"/>
  <c r="V10" i="4"/>
  <c r="V11" i="4"/>
  <c r="V13" i="4"/>
  <c r="V4" i="4"/>
  <c r="T59" i="4"/>
  <c r="T56" i="4"/>
  <c r="T45" i="4"/>
  <c r="T46" i="4"/>
  <c r="T47" i="4"/>
  <c r="T48" i="4"/>
  <c r="T49" i="4"/>
  <c r="T50" i="4"/>
  <c r="T51" i="4"/>
  <c r="T52" i="4"/>
  <c r="T53" i="4"/>
  <c r="T44" i="4"/>
  <c r="T31" i="4"/>
  <c r="T32" i="4"/>
  <c r="T33" i="4"/>
  <c r="T19" i="4"/>
  <c r="T21" i="4"/>
  <c r="T24" i="4"/>
  <c r="T25" i="4"/>
  <c r="T27" i="4"/>
  <c r="T28" i="4"/>
  <c r="T34" i="4"/>
  <c r="T35" i="4"/>
  <c r="T36" i="4"/>
  <c r="T37" i="4"/>
  <c r="T38" i="4"/>
  <c r="T40" i="4"/>
  <c r="T17" i="4"/>
  <c r="T5" i="4"/>
  <c r="T6" i="4"/>
  <c r="T7" i="4"/>
  <c r="T8" i="4"/>
  <c r="T9" i="4"/>
  <c r="T10" i="4"/>
  <c r="T11" i="4"/>
  <c r="T13" i="4"/>
  <c r="T4" i="4"/>
  <c r="S59" i="4"/>
  <c r="S56" i="4"/>
  <c r="S45" i="4"/>
  <c r="S46" i="4"/>
  <c r="S47" i="4"/>
  <c r="S48" i="4"/>
  <c r="S49" i="4"/>
  <c r="S50" i="4"/>
  <c r="S51" i="4"/>
  <c r="S52" i="4"/>
  <c r="S53" i="4"/>
  <c r="S44" i="4"/>
  <c r="S24" i="4"/>
  <c r="S25" i="4"/>
  <c r="S27" i="4"/>
  <c r="S28" i="4"/>
  <c r="S31" i="4"/>
  <c r="S32" i="4"/>
  <c r="S33" i="4"/>
  <c r="S34" i="4"/>
  <c r="S35" i="4"/>
  <c r="S36" i="4"/>
  <c r="S37" i="4"/>
  <c r="S38" i="4"/>
  <c r="S40" i="4"/>
  <c r="S5" i="4"/>
  <c r="S6" i="4"/>
  <c r="S7" i="4"/>
  <c r="S8" i="4"/>
  <c r="S9" i="4"/>
  <c r="S10" i="4"/>
  <c r="S11" i="4"/>
  <c r="S13" i="4"/>
  <c r="S4" i="4"/>
  <c r="X14" i="4" l="1"/>
  <c r="Y14" i="4"/>
  <c r="R59" i="4" l="1"/>
  <c r="R56" i="4"/>
  <c r="R45" i="4"/>
  <c r="R46" i="4"/>
  <c r="R47" i="4"/>
  <c r="R48" i="4"/>
  <c r="R49" i="4"/>
  <c r="R50" i="4"/>
  <c r="R51" i="4"/>
  <c r="R52" i="4"/>
  <c r="R53" i="4"/>
  <c r="R44" i="4"/>
  <c r="R21" i="4"/>
  <c r="R24" i="4"/>
  <c r="R25" i="4"/>
  <c r="R27" i="4"/>
  <c r="R28" i="4"/>
  <c r="R31" i="4"/>
  <c r="R32" i="4"/>
  <c r="R33" i="4"/>
  <c r="R34" i="4"/>
  <c r="R35" i="4"/>
  <c r="R36" i="4"/>
  <c r="R37" i="4"/>
  <c r="R38" i="4"/>
  <c r="R40" i="4"/>
  <c r="R17" i="4"/>
  <c r="R5" i="4"/>
  <c r="R6" i="4"/>
  <c r="R7" i="4"/>
  <c r="R8" i="4"/>
  <c r="R9" i="4"/>
  <c r="R10" i="4"/>
  <c r="R11" i="4"/>
  <c r="R13" i="4"/>
  <c r="R4" i="4"/>
  <c r="Q59" i="4"/>
  <c r="Q56" i="4"/>
  <c r="Q45" i="4"/>
  <c r="Q46" i="4"/>
  <c r="Q47" i="4"/>
  <c r="Q48" i="4"/>
  <c r="Q49" i="4"/>
  <c r="Q50" i="4"/>
  <c r="Q51" i="4"/>
  <c r="Q52" i="4"/>
  <c r="Q53" i="4"/>
  <c r="Q44" i="4"/>
  <c r="Q21" i="4"/>
  <c r="Q24" i="4"/>
  <c r="Q25" i="4"/>
  <c r="Q27" i="4"/>
  <c r="Q28" i="4"/>
  <c r="Q34" i="4"/>
  <c r="Q36" i="4"/>
  <c r="Q37" i="4"/>
  <c r="Q38" i="4"/>
  <c r="Q39" i="4"/>
  <c r="Q5" i="4"/>
  <c r="Q6" i="4"/>
  <c r="Q7" i="4"/>
  <c r="Q8" i="4"/>
  <c r="Q9" i="4"/>
  <c r="Q10" i="4"/>
  <c r="Q11" i="4"/>
  <c r="Q13" i="4"/>
  <c r="Q4" i="4"/>
  <c r="O59" i="4" l="1"/>
  <c r="O56" i="4"/>
  <c r="O45" i="4"/>
  <c r="O46" i="4"/>
  <c r="O47" i="4"/>
  <c r="O48" i="4"/>
  <c r="O49" i="4"/>
  <c r="O50" i="4"/>
  <c r="O51" i="4"/>
  <c r="O52" i="4"/>
  <c r="O53" i="4"/>
  <c r="O44" i="4"/>
  <c r="O18" i="4"/>
  <c r="O23" i="4"/>
  <c r="O24" i="4"/>
  <c r="O25" i="4"/>
  <c r="O27" i="4"/>
  <c r="O28" i="4"/>
  <c r="O31" i="4"/>
  <c r="O32" i="4"/>
  <c r="O34" i="4"/>
  <c r="O36" i="4"/>
  <c r="O37" i="4"/>
  <c r="O38" i="4"/>
  <c r="O39" i="4"/>
  <c r="O17" i="4"/>
  <c r="O5" i="4"/>
  <c r="O6" i="4"/>
  <c r="O7" i="4"/>
  <c r="O8" i="4"/>
  <c r="O9" i="4"/>
  <c r="O10" i="4"/>
  <c r="O11" i="4"/>
  <c r="O13" i="4"/>
  <c r="O4" i="4"/>
  <c r="N59" i="4" l="1"/>
  <c r="N56" i="4"/>
  <c r="N45" i="4"/>
  <c r="N46" i="4"/>
  <c r="N47" i="4"/>
  <c r="N48" i="4"/>
  <c r="N49" i="4"/>
  <c r="N50" i="4"/>
  <c r="N51" i="4"/>
  <c r="N52" i="4"/>
  <c r="N53" i="4"/>
  <c r="N44" i="4"/>
  <c r="N28" i="4"/>
  <c r="N23" i="4"/>
  <c r="N24" i="4"/>
  <c r="N25" i="4"/>
  <c r="N27" i="4"/>
  <c r="N31" i="4"/>
  <c r="N32" i="4"/>
  <c r="N34" i="4"/>
  <c r="N36" i="4"/>
  <c r="N37" i="4"/>
  <c r="N38" i="4"/>
  <c r="N39" i="4"/>
  <c r="N17" i="4"/>
  <c r="N5" i="4"/>
  <c r="N6" i="4"/>
  <c r="N7" i="4"/>
  <c r="N8" i="4"/>
  <c r="N9" i="4"/>
  <c r="N10" i="4"/>
  <c r="N11" i="4"/>
  <c r="N13" i="4"/>
  <c r="N4" i="4"/>
  <c r="M59" i="4"/>
  <c r="M56" i="4"/>
  <c r="M50" i="4"/>
  <c r="M45" i="4"/>
  <c r="M46" i="4"/>
  <c r="M47" i="4"/>
  <c r="M48" i="4"/>
  <c r="M49" i="4"/>
  <c r="M51" i="4"/>
  <c r="M52" i="4"/>
  <c r="M53" i="4"/>
  <c r="M44" i="4"/>
  <c r="M23" i="4"/>
  <c r="H30" i="4"/>
  <c r="H31" i="4"/>
  <c r="M24" i="4"/>
  <c r="M25" i="4"/>
  <c r="M27" i="4"/>
  <c r="M31" i="4"/>
  <c r="M32" i="4"/>
  <c r="M34" i="4"/>
  <c r="M37" i="4"/>
  <c r="M38" i="4"/>
  <c r="M39" i="4"/>
  <c r="M17" i="4"/>
  <c r="O14" i="4"/>
  <c r="M5" i="4"/>
  <c r="M6" i="4"/>
  <c r="M7" i="4"/>
  <c r="M8" i="4"/>
  <c r="M9" i="4"/>
  <c r="M10" i="4"/>
  <c r="M11" i="4"/>
  <c r="M13" i="4"/>
  <c r="M4" i="4"/>
  <c r="L59" i="4"/>
  <c r="L56" i="4"/>
  <c r="L45" i="4"/>
  <c r="L47" i="4"/>
  <c r="L48" i="4"/>
  <c r="L49" i="4"/>
  <c r="L50" i="4"/>
  <c r="L51" i="4"/>
  <c r="L52" i="4"/>
  <c r="L53" i="4"/>
  <c r="L44" i="4"/>
  <c r="L24" i="4"/>
  <c r="L25" i="4"/>
  <c r="L27" i="4"/>
  <c r="L34" i="4"/>
  <c r="L37" i="4"/>
  <c r="L38" i="4"/>
  <c r="L39" i="4"/>
  <c r="L5" i="4"/>
  <c r="L6" i="4"/>
  <c r="L7" i="4"/>
  <c r="L8" i="4"/>
  <c r="L9" i="4"/>
  <c r="L10" i="4"/>
  <c r="L11" i="4"/>
  <c r="L13" i="4"/>
  <c r="L4" i="4"/>
  <c r="N14" i="4" l="1"/>
  <c r="M14" i="4"/>
  <c r="J59" i="4"/>
  <c r="J56" i="4"/>
  <c r="J45" i="4"/>
  <c r="J46" i="4"/>
  <c r="J47" i="4"/>
  <c r="J48" i="4"/>
  <c r="J49" i="4"/>
  <c r="J50" i="4"/>
  <c r="J51" i="4"/>
  <c r="J52" i="4"/>
  <c r="J53" i="4"/>
  <c r="J44" i="4"/>
  <c r="J39" i="4"/>
  <c r="J32" i="4"/>
  <c r="J33" i="4"/>
  <c r="J24" i="4"/>
  <c r="J25" i="4"/>
  <c r="J27" i="4"/>
  <c r="J31" i="4"/>
  <c r="J34" i="4"/>
  <c r="J37" i="4"/>
  <c r="J38" i="4"/>
  <c r="J17" i="4"/>
  <c r="J5" i="4"/>
  <c r="J6" i="4"/>
  <c r="J7" i="4"/>
  <c r="J8" i="4"/>
  <c r="J9" i="4"/>
  <c r="J10" i="4"/>
  <c r="J11" i="4"/>
  <c r="J13" i="4"/>
  <c r="J4" i="4"/>
  <c r="I59" i="4"/>
  <c r="I56" i="4"/>
  <c r="G45" i="4"/>
  <c r="G52" i="4"/>
  <c r="I51" i="4"/>
  <c r="I45" i="4"/>
  <c r="I46" i="4"/>
  <c r="I47" i="4"/>
  <c r="I48" i="4"/>
  <c r="I49" i="4"/>
  <c r="I50" i="4"/>
  <c r="I52" i="4"/>
  <c r="I53" i="4"/>
  <c r="I44" i="4"/>
  <c r="I38" i="4"/>
  <c r="I20" i="4"/>
  <c r="I24" i="4"/>
  <c r="I26" i="4"/>
  <c r="I27" i="4"/>
  <c r="I31" i="4"/>
  <c r="I32" i="4"/>
  <c r="I34" i="4"/>
  <c r="I37" i="4"/>
  <c r="I17" i="4"/>
  <c r="I14" i="4"/>
  <c r="H59" i="4"/>
  <c r="H56" i="4"/>
  <c r="H46" i="4"/>
  <c r="H47" i="4"/>
  <c r="H48" i="4"/>
  <c r="H45" i="4"/>
  <c r="H49" i="4"/>
  <c r="H50" i="4"/>
  <c r="H52" i="4"/>
  <c r="H53" i="4"/>
  <c r="H44" i="4"/>
  <c r="H24" i="4"/>
  <c r="H26" i="4"/>
  <c r="H27" i="4"/>
  <c r="H32" i="4"/>
  <c r="H34" i="4"/>
  <c r="H39" i="4"/>
  <c r="H17" i="4"/>
  <c r="H5" i="4"/>
  <c r="H6" i="4"/>
  <c r="H7" i="4"/>
  <c r="H8" i="4"/>
  <c r="H9" i="4"/>
  <c r="H10" i="4"/>
  <c r="H11" i="4"/>
  <c r="H13" i="4"/>
  <c r="H4" i="4"/>
  <c r="G59" i="4"/>
  <c r="G56" i="4"/>
  <c r="G50" i="4"/>
  <c r="G47" i="4"/>
  <c r="G48" i="4"/>
  <c r="G49" i="4"/>
  <c r="G53" i="4"/>
  <c r="G44" i="4"/>
  <c r="G24" i="4"/>
  <c r="G26" i="4"/>
  <c r="G27" i="4"/>
  <c r="V14" i="4"/>
  <c r="W14" i="4"/>
  <c r="Q14" i="4"/>
  <c r="R14" i="4"/>
  <c r="S14" i="4"/>
  <c r="T14" i="4"/>
  <c r="L14" i="4"/>
  <c r="G10" i="4"/>
  <c r="G5" i="4"/>
  <c r="G6" i="4"/>
  <c r="G7" i="4"/>
  <c r="G8" i="4"/>
  <c r="G9" i="4"/>
  <c r="G11" i="4"/>
  <c r="G13" i="4"/>
  <c r="G4" i="4"/>
  <c r="J14" i="4" l="1"/>
  <c r="J54" i="4"/>
  <c r="J41" i="4"/>
  <c r="I54" i="4"/>
  <c r="I41" i="4"/>
  <c r="H14" i="4"/>
  <c r="H54" i="4"/>
  <c r="H41" i="4"/>
  <c r="G14" i="4"/>
  <c r="G54" i="4"/>
  <c r="G41" i="4"/>
  <c r="J58" i="4" l="1"/>
  <c r="J60" i="4" s="1"/>
  <c r="I58" i="4"/>
  <c r="I60" i="4" s="1"/>
  <c r="H58" i="4"/>
  <c r="H60" i="4" s="1"/>
  <c r="G58" i="4"/>
  <c r="G60" i="4" s="1"/>
  <c r="C44" i="4" l="1"/>
  <c r="E59" i="4" l="1"/>
  <c r="E56" i="4"/>
  <c r="E53" i="4"/>
  <c r="E52" i="4"/>
  <c r="E49" i="4"/>
  <c r="E48" i="4"/>
  <c r="E47" i="4"/>
  <c r="E45" i="4"/>
  <c r="E44" i="4"/>
  <c r="E39" i="4"/>
  <c r="E26" i="4"/>
  <c r="E10" i="4"/>
  <c r="E11" i="4"/>
  <c r="C10" i="4"/>
  <c r="D10" i="4"/>
  <c r="E37" i="4" l="1"/>
  <c r="E34" i="4"/>
  <c r="E32" i="4"/>
  <c r="E31" i="4"/>
  <c r="E27" i="4"/>
  <c r="E24" i="4"/>
  <c r="E17" i="4"/>
  <c r="E13" i="4"/>
  <c r="E14" i="4" s="1"/>
  <c r="E9" i="4"/>
  <c r="E8" i="4"/>
  <c r="E7" i="4"/>
  <c r="E6" i="4"/>
  <c r="E5" i="4"/>
  <c r="E4" i="4"/>
  <c r="D59" i="4" l="1"/>
  <c r="D56" i="4"/>
  <c r="E54" i="4"/>
  <c r="D45" i="4"/>
  <c r="D47" i="4"/>
  <c r="D48" i="4"/>
  <c r="D49" i="4"/>
  <c r="D52" i="4"/>
  <c r="D53" i="4"/>
  <c r="D44" i="4"/>
  <c r="E41" i="4"/>
  <c r="L41" i="4"/>
  <c r="D34" i="4"/>
  <c r="D32" i="4"/>
  <c r="D20" i="4"/>
  <c r="D24" i="4"/>
  <c r="D27" i="4"/>
  <c r="D31" i="4"/>
  <c r="D37" i="4"/>
  <c r="D17" i="4"/>
  <c r="D5" i="4"/>
  <c r="D6" i="4"/>
  <c r="D7" i="4"/>
  <c r="D8" i="4"/>
  <c r="D9" i="4"/>
  <c r="D11" i="4"/>
  <c r="D13" i="4"/>
  <c r="D4" i="4"/>
  <c r="E58" i="4" l="1"/>
  <c r="E60" i="4" s="1"/>
  <c r="D41" i="4"/>
  <c r="D54" i="4"/>
  <c r="D14" i="4"/>
  <c r="C59" i="4"/>
  <c r="C56" i="4"/>
  <c r="C20" i="4"/>
  <c r="C30" i="4"/>
  <c r="C27" i="4"/>
  <c r="C29" i="4"/>
  <c r="C24" i="4"/>
  <c r="C37" i="4"/>
  <c r="C17" i="4"/>
  <c r="C13" i="4"/>
  <c r="C5" i="4"/>
  <c r="C6" i="4"/>
  <c r="C7" i="4"/>
  <c r="C8" i="4"/>
  <c r="C9" i="4"/>
  <c r="C11" i="4"/>
  <c r="C4" i="4"/>
  <c r="C45" i="4"/>
  <c r="C47" i="4"/>
  <c r="C48" i="4"/>
  <c r="C49" i="4"/>
  <c r="C52" i="4"/>
  <c r="C53" i="4"/>
  <c r="C14" i="4" l="1"/>
  <c r="D58" i="4"/>
  <c r="D60" i="4" s="1"/>
  <c r="C41" i="4"/>
  <c r="C54" i="4"/>
  <c r="C58" i="4" l="1"/>
  <c r="C60" i="4" s="1"/>
  <c r="T54" i="4" l="1"/>
  <c r="W41" i="4"/>
  <c r="X41" i="4"/>
  <c r="Y41" i="4"/>
  <c r="V41" i="4"/>
  <c r="R41" i="4"/>
  <c r="S41" i="4"/>
  <c r="T41" i="4"/>
  <c r="T58" i="4" s="1"/>
  <c r="T60" i="4" s="1"/>
  <c r="Q41" i="4"/>
  <c r="M41" i="4"/>
  <c r="N41" i="4"/>
  <c r="O41" i="4"/>
  <c r="Y54" i="4" l="1"/>
  <c r="Y58" i="4" s="1"/>
  <c r="X54" i="4"/>
  <c r="V54" i="4"/>
  <c r="V58" i="4" s="1"/>
  <c r="S54" i="4"/>
  <c r="S58" i="4" s="1"/>
  <c r="R54" i="4"/>
  <c r="R58" i="4" s="1"/>
  <c r="Q54" i="4"/>
  <c r="Q58" i="4" s="1"/>
  <c r="Q60" i="4" s="1"/>
  <c r="O54" i="4"/>
  <c r="O58" i="4" s="1"/>
  <c r="O60" i="4" s="1"/>
  <c r="N54" i="4"/>
  <c r="N58" i="4" s="1"/>
  <c r="N60" i="4" s="1"/>
  <c r="M54" i="4"/>
  <c r="M58" i="4" s="1"/>
  <c r="M60" i="4" s="1"/>
  <c r="L54" i="4"/>
  <c r="L58" i="4" s="1"/>
  <c r="L60" i="4" s="1"/>
  <c r="W54" i="4"/>
  <c r="W58" i="4" s="1"/>
  <c r="X58" i="4" l="1"/>
  <c r="X60" i="4" s="1"/>
  <c r="V60" i="4"/>
  <c r="Y60" i="4"/>
  <c r="R60" i="4"/>
  <c r="S60" i="4"/>
  <c r="W6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Muhammad Izzat Aminuddin - UEMS</author>
  </authors>
  <commentList>
    <comment ref="B53" authorId="0" shapeId="0" xr:uid="{C03693F5-1599-4C4A-B2F5-9114CB69F34A}">
      <text>
        <r>
          <rPr>
            <b/>
            <sz val="9"/>
            <color indexed="81"/>
            <rFont val="Tahoma"/>
            <family val="2"/>
          </rPr>
          <t>Muhammad Izzat Aminuddin - UEMS:</t>
        </r>
        <r>
          <rPr>
            <sz val="9"/>
            <color indexed="81"/>
            <rFont val="Tahoma"/>
            <family val="2"/>
          </rPr>
          <t xml:space="preserve">
Formula:(total borrowing - cash)/EBITDA</t>
        </r>
      </text>
    </comment>
  </commentList>
</comments>
</file>

<file path=xl/sharedStrings.xml><?xml version="1.0" encoding="utf-8"?>
<sst xmlns="http://schemas.openxmlformats.org/spreadsheetml/2006/main" count="663" uniqueCount="376">
  <si>
    <t>Income Statement (RM'm)</t>
  </si>
  <si>
    <t>1Q2019</t>
  </si>
  <si>
    <t>2Q2019</t>
  </si>
  <si>
    <t>3Q2019</t>
  </si>
  <si>
    <t>4Q2019</t>
  </si>
  <si>
    <t>1Q2020</t>
  </si>
  <si>
    <t>2Q2020</t>
  </si>
  <si>
    <t>3Q2020</t>
  </si>
  <si>
    <t>4Q2020</t>
  </si>
  <si>
    <t>1Q2021</t>
  </si>
  <si>
    <t>2Q2021</t>
  </si>
  <si>
    <t>3Q2021</t>
  </si>
  <si>
    <t>4Q2021</t>
  </si>
  <si>
    <t>1Q2022</t>
  </si>
  <si>
    <t>2Q2022</t>
  </si>
  <si>
    <t>3Q2022</t>
  </si>
  <si>
    <t>4Q2022</t>
  </si>
  <si>
    <t>FY2021</t>
  </si>
  <si>
    <t>FY2022</t>
  </si>
  <si>
    <t>1Q2023</t>
  </si>
  <si>
    <t>2Q2023</t>
  </si>
  <si>
    <t>3Q2023</t>
  </si>
  <si>
    <t>4Q2023</t>
  </si>
  <si>
    <t>Q-Q %</t>
  </si>
  <si>
    <t>Y-Y %</t>
  </si>
  <si>
    <t>1H2022</t>
  </si>
  <si>
    <t>1H2023</t>
  </si>
  <si>
    <t>YTD %</t>
  </si>
  <si>
    <t>FY2023</t>
  </si>
  <si>
    <t> </t>
  </si>
  <si>
    <t>Gross profit</t>
  </si>
  <si>
    <t>GP margin</t>
  </si>
  <si>
    <t>EBITDA</t>
  </si>
  <si>
    <t>EBITDA margin</t>
  </si>
  <si>
    <t>Depreciation, amortisation and impairment</t>
  </si>
  <si>
    <t>Profits before interests and tax (PBIT)</t>
  </si>
  <si>
    <t>Profit after tax (PAT)</t>
  </si>
  <si>
    <t>PAT margin</t>
  </si>
  <si>
    <t>Key Financial Ratios</t>
  </si>
  <si>
    <t>Earnings per share (sen)</t>
  </si>
  <si>
    <t xml:space="preserve">Net debt to EBITDA (times) </t>
  </si>
  <si>
    <t>Balance Sheet (RM'm)</t>
  </si>
  <si>
    <t>Period ended</t>
  </si>
  <si>
    <t>Non-current assets</t>
  </si>
  <si>
    <t>Contract assets</t>
  </si>
  <si>
    <t>Deferred tax assets</t>
  </si>
  <si>
    <t>Current assets</t>
  </si>
  <si>
    <t>TOTAL ASSETS</t>
  </si>
  <si>
    <t>Non-current liabilities</t>
  </si>
  <si>
    <t>Deferred tax liabilities</t>
  </si>
  <si>
    <t>Contract liabilities</t>
  </si>
  <si>
    <t>Current liabilities</t>
  </si>
  <si>
    <t>Tax payable</t>
  </si>
  <si>
    <t>Total liabilities</t>
  </si>
  <si>
    <t>Equity</t>
  </si>
  <si>
    <t>Share capital</t>
  </si>
  <si>
    <t>Total equity - attributable to owners of the parent</t>
  </si>
  <si>
    <t>TOTAL EQUITY AND LIABILITIES</t>
  </si>
  <si>
    <t>Note: There will be some rounding differences</t>
  </si>
  <si>
    <t>FY2019</t>
  </si>
  <si>
    <t>FY2020</t>
  </si>
  <si>
    <t>Period ended (YTD)</t>
  </si>
  <si>
    <t>31 MAR 2021</t>
  </si>
  <si>
    <t>30 JUN 2021</t>
  </si>
  <si>
    <t>31 SEP  2021</t>
  </si>
  <si>
    <t>Cash flows from operating activities</t>
  </si>
  <si>
    <t>Proceeds from disposal of property, plant and equipment</t>
  </si>
  <si>
    <t>Net cash used in investing activities</t>
  </si>
  <si>
    <t>Cash flows from financing activities</t>
  </si>
  <si>
    <t>Interest paid</t>
  </si>
  <si>
    <t>Amounts due from joint ventures</t>
  </si>
  <si>
    <t>Long term receivables</t>
  </si>
  <si>
    <t>Contract cost assets</t>
  </si>
  <si>
    <t>Receivables</t>
  </si>
  <si>
    <t>Amounts due from associates</t>
  </si>
  <si>
    <t>Assets classified as held for sale</t>
  </si>
  <si>
    <t>Borrowings</t>
  </si>
  <si>
    <t>Lease liabilities</t>
  </si>
  <si>
    <t>Payables</t>
  </si>
  <si>
    <t>Deferred income</t>
  </si>
  <si>
    <t>Provisions</t>
  </si>
  <si>
    <t>Property development</t>
  </si>
  <si>
    <t>- Southern</t>
  </si>
  <si>
    <t>- Central</t>
  </si>
  <si>
    <t>- International</t>
  </si>
  <si>
    <t>Land sales</t>
  </si>
  <si>
    <t>Property investment</t>
  </si>
  <si>
    <t>Others</t>
  </si>
  <si>
    <t>Cost of sales</t>
  </si>
  <si>
    <t>Sales</t>
  </si>
  <si>
    <t>Southern</t>
  </si>
  <si>
    <t>Central</t>
  </si>
  <si>
    <t>International</t>
  </si>
  <si>
    <t xml:space="preserve">Total sales </t>
  </si>
  <si>
    <t>GDV launched</t>
  </si>
  <si>
    <t>PATANCI</t>
  </si>
  <si>
    <t>Inventories movement</t>
  </si>
  <si>
    <t>Cash receipts from customers</t>
  </si>
  <si>
    <t>Cash receipts from related parties</t>
  </si>
  <si>
    <t>Cash payments to contractors</t>
  </si>
  <si>
    <t>Cash payments for land and development related costs</t>
  </si>
  <si>
    <t>Cash payments to related parties</t>
  </si>
  <si>
    <t>Cash payments to employees and for expenses</t>
  </si>
  <si>
    <t>Net income tax paid</t>
  </si>
  <si>
    <t>Net cash generated from operating activities</t>
  </si>
  <si>
    <t>Condensed Consolidated Statement of Cash Flows (in RM mil)</t>
  </si>
  <si>
    <t>Net proceeds from partial disposal of a joint ventures</t>
  </si>
  <si>
    <t>Purchase of property, plant and equipment</t>
  </si>
  <si>
    <t>Redemption of Redeemable Non-convertible Non-cumulative Preference Shares from an associate</t>
  </si>
  <si>
    <t>Investment in a joint venture</t>
  </si>
  <si>
    <t>Investment in land held for property development</t>
  </si>
  <si>
    <t>Net redemption in short term investments</t>
  </si>
  <si>
    <t>Drawdown of borrowings</t>
  </si>
  <si>
    <t>Repayment of borrowings</t>
  </si>
  <si>
    <t>Repayment of Islamic Medium Term Notes</t>
  </si>
  <si>
    <t>Repayment of lease liabilities</t>
  </si>
  <si>
    <t>Dividend paid</t>
  </si>
  <si>
    <t>Effects of exchange rate changes</t>
  </si>
  <si>
    <t>31 SEP  2020</t>
  </si>
  <si>
    <t>31 SEP  2019</t>
  </si>
  <si>
    <t>RM mil</t>
  </si>
  <si>
    <t>Total GDV launched</t>
  </si>
  <si>
    <t>Wholly-Owned Lands</t>
  </si>
  <si>
    <t>On going projects</t>
  </si>
  <si>
    <t>Location</t>
  </si>
  <si>
    <t>Remaining Land Area (acres)</t>
  </si>
  <si>
    <t>Total GDV (RM'mil)</t>
  </si>
  <si>
    <t>Launched GDV (RM'mil)</t>
  </si>
  <si>
    <t>Remaining GDV    (RM 'mil)</t>
  </si>
  <si>
    <t xml:space="preserve">Stake </t>
  </si>
  <si>
    <t>East Ledang</t>
  </si>
  <si>
    <t xml:space="preserve">Iskandar Puteri </t>
  </si>
  <si>
    <t>Nusa Idaman</t>
  </si>
  <si>
    <t>Nusa Bayu</t>
  </si>
  <si>
    <t>Imperia</t>
  </si>
  <si>
    <t>Teega</t>
  </si>
  <si>
    <t>Almas, Puteri Harbour</t>
  </si>
  <si>
    <t>Estuari, Puteri Harbour</t>
  </si>
  <si>
    <t>Denai Nusantara</t>
  </si>
  <si>
    <t>Aspira LakeHomes, Gerbang Nusajaya</t>
  </si>
  <si>
    <t xml:space="preserve">Serimbun, Bukit Indah </t>
  </si>
  <si>
    <t>Aspira ParkHomes, Gerbang Nusajaya</t>
  </si>
  <si>
    <t>Senadi Hills</t>
  </si>
  <si>
    <t>Selangor</t>
  </si>
  <si>
    <t>KAIA Heights, Equine</t>
  </si>
  <si>
    <t>Residensi Sefina</t>
  </si>
  <si>
    <t>Kuala Lumpur</t>
  </si>
  <si>
    <t>Arcoris</t>
  </si>
  <si>
    <t>Summer Suites &amp; VOS</t>
  </si>
  <si>
    <t>Residensi 22</t>
  </si>
  <si>
    <t>Solaris Parq</t>
  </si>
  <si>
    <t xml:space="preserve">Kondominium Kiara Kasih </t>
  </si>
  <si>
    <t>The Connaught One</t>
  </si>
  <si>
    <t xml:space="preserve">Kiara Bay, Kepong </t>
  </si>
  <si>
    <t>50% + 1 share</t>
  </si>
  <si>
    <t>Collingwood, Melbourne</t>
  </si>
  <si>
    <t>Melbourne</t>
  </si>
  <si>
    <t>TOTAL ONGOING</t>
  </si>
  <si>
    <t>Pipeline projects</t>
  </si>
  <si>
    <t>Total Land area (acres)</t>
  </si>
  <si>
    <t>Total GDV          (RM 'mil)</t>
  </si>
  <si>
    <t>Gerbang Nusajaya</t>
  </si>
  <si>
    <t>Angkasa Raya</t>
  </si>
  <si>
    <t>MK31, Mont'Kiara (Plot 2)</t>
  </si>
  <si>
    <t>Taman Pertama, Cheras</t>
  </si>
  <si>
    <t>Taman Connaught</t>
  </si>
  <si>
    <t>Section 13, Petaling Jaya</t>
  </si>
  <si>
    <t>SS6, Kelana Jaya</t>
  </si>
  <si>
    <t>Subiaco, Perth</t>
  </si>
  <si>
    <t>Australia</t>
  </si>
  <si>
    <t>TOTAL PIPELINE</t>
  </si>
  <si>
    <t>Lands with no immediate development plans or GDV</t>
  </si>
  <si>
    <t>Catalyst Development</t>
  </si>
  <si>
    <t>Puteri Harbour</t>
  </si>
  <si>
    <t>Iskandar Puteri</t>
  </si>
  <si>
    <t>Afiat Healthpark</t>
  </si>
  <si>
    <t xml:space="preserve">Sireh Park, Iskandar Puteri </t>
  </si>
  <si>
    <t>TOTAL</t>
  </si>
  <si>
    <t>Undeveloped Landbank</t>
  </si>
  <si>
    <t>Pocket lands/Others</t>
  </si>
  <si>
    <t>Outside Iskandar Puteri</t>
  </si>
  <si>
    <t>Klang Valley (Segambut/Mont'Kiara)</t>
  </si>
  <si>
    <t>Selangor (Taman Sri Bahagia)</t>
  </si>
  <si>
    <t>Artisan Hills, Kajang</t>
  </si>
  <si>
    <t xml:space="preserve">TOTAL LAND WITH NO IMMEDIATE DEVELOPMENT PLANS </t>
  </si>
  <si>
    <t>Joint Venture Project Lands</t>
  </si>
  <si>
    <t>Remaining GDV (RM 'mil)</t>
  </si>
  <si>
    <t>Mall of Medini</t>
  </si>
  <si>
    <t>Horizon Hills</t>
  </si>
  <si>
    <t xml:space="preserve">Somerset @ Puteri Harbour </t>
  </si>
  <si>
    <t>Emerald Bay</t>
  </si>
  <si>
    <t>Nusajaya Tech Park</t>
  </si>
  <si>
    <t>The Maris, Desaru</t>
  </si>
  <si>
    <t>Desaru</t>
  </si>
  <si>
    <t>Radia Bukit Jelutong</t>
  </si>
  <si>
    <t>Seremban Forest Heights</t>
  </si>
  <si>
    <t>Negeri Sembilan</t>
  </si>
  <si>
    <t>Residential South</t>
  </si>
  <si>
    <t>The Waves (CS3) - Puteri Harbour</t>
  </si>
  <si>
    <t xml:space="preserve">Gerbang Nusajaya - KLK </t>
  </si>
  <si>
    <t>Gerbang Nusajaya - Fastrackcity</t>
  </si>
  <si>
    <t>Fraser Metropolis</t>
  </si>
  <si>
    <t>No JV pipeline in Central</t>
  </si>
  <si>
    <t>Durban, South Africa</t>
  </si>
  <si>
    <t>South Africa</t>
  </si>
  <si>
    <t>Total Ongoing + Pipeline</t>
  </si>
  <si>
    <t>Breakdown of total lands under UEMS Group</t>
  </si>
  <si>
    <t>Wholly-owned via subsidiaries</t>
  </si>
  <si>
    <t>Joint venture projects lands via various JV Companies</t>
  </si>
  <si>
    <t>Breakdown via regions</t>
  </si>
  <si>
    <t>Acre (%)</t>
  </si>
  <si>
    <t>GDV (%)</t>
  </si>
  <si>
    <t>Interest income</t>
  </si>
  <si>
    <t>Gross gearing (times)</t>
  </si>
  <si>
    <t>Net gearing (times)</t>
  </si>
  <si>
    <t>Revenue</t>
  </si>
  <si>
    <t>Income tax</t>
  </si>
  <si>
    <t>Finance costs</t>
  </si>
  <si>
    <t>Non-controlling interests</t>
  </si>
  <si>
    <t>Property, plant and equipment</t>
  </si>
  <si>
    <t>Investment properties</t>
  </si>
  <si>
    <t>Right-of-use assets</t>
  </si>
  <si>
    <t>Land held for property development</t>
  </si>
  <si>
    <t>Interests in associates</t>
  </si>
  <si>
    <t>Interests in joint ventures</t>
  </si>
  <si>
    <t>Derivative asset</t>
  </si>
  <si>
    <t>Goodwill</t>
  </si>
  <si>
    <t>Property development costs</t>
  </si>
  <si>
    <t xml:space="preserve">Cash, bank balances and deposits </t>
  </si>
  <si>
    <t>Interests in a joint venture</t>
  </si>
  <si>
    <t>Inventories held for sale</t>
  </si>
  <si>
    <t>Inventories under contract of sale</t>
  </si>
  <si>
    <t>Derivative liability</t>
  </si>
  <si>
    <t xml:space="preserve">   Merger relief reserves</t>
  </si>
  <si>
    <t xml:space="preserve">   Other reserves</t>
  </si>
  <si>
    <t xml:space="preserve">   Retained profits</t>
  </si>
  <si>
    <t>Non-controlling Interests</t>
  </si>
  <si>
    <t>Net cash (used in)/generated from financing activities</t>
  </si>
  <si>
    <t>Drawdown of Islamic Medium Term Notes</t>
  </si>
  <si>
    <t>Interest received</t>
  </si>
  <si>
    <t>Dividend received from a joint venture</t>
  </si>
  <si>
    <t>Advances to joint ventures</t>
  </si>
  <si>
    <t>Acquisition of a subsidiary</t>
  </si>
  <si>
    <t>Deposit paid for land acquisition</t>
  </si>
  <si>
    <t>Proceeds from disposal of short term investment</t>
  </si>
  <si>
    <t>Net increase / (decrease) in cash and cash equivalents</t>
  </si>
  <si>
    <t>Cash and cash equivalents as at beginning of financial period</t>
  </si>
  <si>
    <t>Cash and cash equivalents as at end of financial period</t>
  </si>
  <si>
    <t>Repayment from a joint venture</t>
  </si>
  <si>
    <t>Deposit refund for development rights of a land</t>
  </si>
  <si>
    <t>Business combination</t>
  </si>
  <si>
    <t>Cash generated from/(used in) operations</t>
  </si>
  <si>
    <t>Proceeds from disposal of investment property</t>
  </si>
  <si>
    <t>Net investment in short term investments</t>
  </si>
  <si>
    <t>Cash flows from investing activities</t>
  </si>
  <si>
    <t>Repayment of loan from immediate holding company</t>
  </si>
  <si>
    <t>Redemption of Redeemable Convertible Preference Shares ("RCPS")</t>
  </si>
  <si>
    <t>Investment in long term investment</t>
  </si>
  <si>
    <t>Advance from a corporate shareholder</t>
  </si>
  <si>
    <t>Financial asset at fair value through profit or loss</t>
  </si>
  <si>
    <t>Short term investments</t>
  </si>
  <si>
    <t>Deposit received for partial disposal of subsidiary</t>
  </si>
  <si>
    <t>Purchase of investment property</t>
  </si>
  <si>
    <t>Net proceeds from partial disposal of a subsidiary</t>
  </si>
  <si>
    <t>Advances to an associate</t>
  </si>
  <si>
    <t>Dividend received from associates</t>
  </si>
  <si>
    <t>Net proceeds from disposal of a subsidiary</t>
  </si>
  <si>
    <t>Liabilities classified as held for sale</t>
  </si>
  <si>
    <t>Zakat paid</t>
  </si>
  <si>
    <t>Zakat</t>
  </si>
  <si>
    <t>Inventories movement (As at)</t>
  </si>
  <si>
    <t>The MINH, MK</t>
  </si>
  <si>
    <t>Remaining Land area (acres)</t>
  </si>
  <si>
    <t>TOTAL - including no immediate development plans</t>
  </si>
  <si>
    <t>TOTAL - excluding no immediate development plans</t>
  </si>
  <si>
    <t>Wholly-owned via subsdiaries - no immediate plans</t>
  </si>
  <si>
    <t xml:space="preserve">Share of results joint ventures of associates </t>
  </si>
  <si>
    <t>Profit before tax</t>
  </si>
  <si>
    <t>Forex gain/(loss)</t>
  </si>
  <si>
    <t>Loss before tax from discontinued operations</t>
  </si>
  <si>
    <t>Loss from discontinued operations</t>
  </si>
  <si>
    <t>Note:*</t>
  </si>
  <si>
    <t>1. The MINH is part of MK31</t>
  </si>
  <si>
    <t>2. Pipeline projects will be moved to Ongoing Projects once activated</t>
  </si>
  <si>
    <r>
      <t xml:space="preserve">Profit before tax </t>
    </r>
    <r>
      <rPr>
        <sz val="10"/>
        <color rgb="FF000000"/>
        <rFont val="Arial"/>
        <family val="2"/>
      </rPr>
      <t>(from continued operations)</t>
    </r>
  </si>
  <si>
    <t>Operating Expenses</t>
  </si>
  <si>
    <t>68° Avenue</t>
  </si>
  <si>
    <t>-</t>
  </si>
  <si>
    <t>Symphony Hills, Cyberjaya</t>
  </si>
  <si>
    <t>PATANCI margin</t>
  </si>
  <si>
    <t xml:space="preserve">GP excl land sales </t>
  </si>
  <si>
    <t xml:space="preserve">GP by breakdown </t>
  </si>
  <si>
    <t xml:space="preserve">Key Ratio </t>
  </si>
  <si>
    <t>Int cost/PBIT</t>
  </si>
  <si>
    <t xml:space="preserve">recheck recognition for international project / land sales </t>
  </si>
  <si>
    <t xml:space="preserve">check if want to include rev recognition for projects  - AFS Note - Revenue Bdown </t>
  </si>
  <si>
    <t>Total Land Area (acres)</t>
  </si>
  <si>
    <t xml:space="preserve">Aspira Square, Gerbang Nusajaya </t>
  </si>
  <si>
    <t>Aspira Gardens, Gerbang Nusajaya</t>
  </si>
  <si>
    <t xml:space="preserve">Serene Heights, Semenyih </t>
  </si>
  <si>
    <t xml:space="preserve">Residensi Astrea, MK </t>
  </si>
  <si>
    <t xml:space="preserve">Residensi Allevia, MK </t>
  </si>
  <si>
    <t>YTD Sales (RM mil)</t>
  </si>
  <si>
    <t>Unbilled Sales (RM mil)</t>
  </si>
  <si>
    <t>Cumulative take-ups rate (%)</t>
  </si>
  <si>
    <t>Financial Progress Completion* (%)</t>
  </si>
  <si>
    <t>Remaining GDV (RM mil)</t>
  </si>
  <si>
    <t>Remaining GDV (RM'mil)</t>
  </si>
  <si>
    <t>SUMMARY - Remaining Landbank &amp; GDV (Wholly Owned Lands)</t>
  </si>
  <si>
    <t>SUMMARY - Remaining Landbank &amp; GDV (Joint Venture Project Lands)</t>
  </si>
  <si>
    <t>Feb 2008</t>
  </si>
  <si>
    <t>Dec 2005</t>
  </si>
  <si>
    <t>Oct 2010</t>
  </si>
  <si>
    <t>2011</t>
  </si>
  <si>
    <t>2012</t>
  </si>
  <si>
    <t>Nov 2013</t>
  </si>
  <si>
    <t>Aug 2015</t>
  </si>
  <si>
    <t>2016</t>
  </si>
  <si>
    <t>Apr 2016</t>
  </si>
  <si>
    <t>2018</t>
  </si>
  <si>
    <t>Dec 2018</t>
  </si>
  <si>
    <t>Jan 2014</t>
  </si>
  <si>
    <t>Dec 2019</t>
  </si>
  <si>
    <t>Aug 2019</t>
  </si>
  <si>
    <t>Jun 2020</t>
  </si>
  <si>
    <t>Jul 2010</t>
  </si>
  <si>
    <t>Mar 2021</t>
  </si>
  <si>
    <t>2015</t>
  </si>
  <si>
    <t>2013</t>
  </si>
  <si>
    <t>Oct 2017</t>
  </si>
  <si>
    <t>Oct 2018</t>
  </si>
  <si>
    <t>Mar 2018</t>
  </si>
  <si>
    <t>Nov 2020</t>
  </si>
  <si>
    <t>Jul 2023</t>
  </si>
  <si>
    <t>Opex/Revenue</t>
  </si>
  <si>
    <t>GP Margin</t>
  </si>
  <si>
    <t xml:space="preserve">EBITDA Margin </t>
  </si>
  <si>
    <t xml:space="preserve">PBIT Margin </t>
  </si>
  <si>
    <t>Effective Tax Rate</t>
  </si>
  <si>
    <t>PATANCI Margin</t>
  </si>
  <si>
    <t>Earnings Per Share (sen)</t>
  </si>
  <si>
    <t>Net Debt/EBITDA</t>
  </si>
  <si>
    <t>=(total asset - borrowings/loans)/EBITDA</t>
  </si>
  <si>
    <t>- ask aqram if we use rolling 12months EBITDA for the calc.</t>
  </si>
  <si>
    <t xml:space="preserve">*Master Title for Gerbang Nusajaya land is 4,471 acres, including ongoing launches, JV projects and lands surrendered for other infrastructure usage. </t>
  </si>
  <si>
    <t>Iskandar Puteri  (GN)</t>
  </si>
  <si>
    <t>Kulai</t>
  </si>
  <si>
    <t>Iskandar Puteri (GN)</t>
  </si>
  <si>
    <t>Owned</t>
  </si>
  <si>
    <t>JV/Others</t>
  </si>
  <si>
    <t>Total - Southern</t>
  </si>
  <si>
    <t>May 2015</t>
  </si>
  <si>
    <t>* remaining land area not including ongoing projects and JV projects</t>
  </si>
  <si>
    <t xml:space="preserve">Activation Year </t>
  </si>
  <si>
    <t>N/A</t>
  </si>
  <si>
    <t>1Q2024</t>
  </si>
  <si>
    <t>2Q2024</t>
  </si>
  <si>
    <t>3Q2024</t>
  </si>
  <si>
    <t>4Q2024</t>
  </si>
  <si>
    <t>FY2024</t>
  </si>
  <si>
    <t>Tax recoverables</t>
  </si>
  <si>
    <t>As of March 2024</t>
  </si>
  <si>
    <t>SILC Phase 3</t>
  </si>
  <si>
    <t>2010</t>
  </si>
  <si>
    <t>2005</t>
  </si>
  <si>
    <t>2008</t>
  </si>
  <si>
    <t>203</t>
  </si>
  <si>
    <t>2014</t>
  </si>
  <si>
    <t>2019</t>
  </si>
  <si>
    <t>2020</t>
  </si>
  <si>
    <t>2021</t>
  </si>
  <si>
    <t>2017</t>
  </si>
  <si>
    <t>2023</t>
  </si>
  <si>
    <t>YoY</t>
  </si>
  <si>
    <t>QoQ</t>
  </si>
  <si>
    <t>Landbank data as of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</si>
</sst>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dd\ mmm\ yyyy"/>
    <numFmt numFmtId="170" formatCode="#,##0.0"/>
    <numFmt numFmtId="171" formatCode="_-* #,##0.0_-;\-* #,##0.0_-;_-* &quot;-&quot;??_-;_-@_-"/>
    <numFmt numFmtId="172" formatCode="_-* #,##0_-;\-* #,##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9"/>
      <color theme="1"/>
      <name val="Verdana"/>
      <family val="2"/>
    </font>
    <font>
      <b/>
      <u/>
      <sz val="10"/>
      <color theme="1"/>
      <name val="Verdana"/>
      <family val="2"/>
    </font>
    <font>
      <sz val="11"/>
      <color theme="1"/>
      <name val="Verdana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70C0"/>
      <name val="Arial"/>
      <family val="2"/>
    </font>
    <font>
      <i/>
      <sz val="10"/>
      <color rgb="FF0070C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10"/>
      <color theme="4"/>
      <name val="Arial"/>
      <family val="2"/>
    </font>
    <font>
      <b/>
      <sz val="10"/>
      <color theme="4"/>
      <name val="Arial"/>
      <family val="2"/>
    </font>
    <font>
      <b/>
      <i/>
      <sz val="10"/>
      <color theme="4"/>
      <name val="Arial"/>
      <family val="2"/>
    </font>
    <font>
      <b/>
      <i/>
      <sz val="10"/>
      <color theme="0"/>
      <name val="Arial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000000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1" fillId="0" borderId="0"/>
    <xf numFmtId="164" fontId="12" fillId="0" borderId="0" applyFont="0" applyFill="0" applyBorder="0" applyAlignment="0" applyProtection="0"/>
  </cellStyleXfs>
  <cellXfs count="698">
    <xf numFmtId="0" fontId="0" fillId="0" borderId="0" xfId="0"/>
    <xf numFmtId="0" fontId="2" fillId="2" borderId="0" xfId="0" applyFont="1" applyFill="1"/>
    <xf numFmtId="165" fontId="2" fillId="2" borderId="0" xfId="1" applyNumberFormat="1" applyFont="1" applyFill="1" applyBorder="1"/>
    <xf numFmtId="165" fontId="2" fillId="2" borderId="9" xfId="1" applyNumberFormat="1" applyFont="1" applyFill="1" applyBorder="1"/>
    <xf numFmtId="165" fontId="2" fillId="2" borderId="0" xfId="1" applyNumberFormat="1" applyFont="1" applyFill="1"/>
    <xf numFmtId="165" fontId="3" fillId="2" borderId="14" xfId="1" applyNumberFormat="1" applyFont="1" applyFill="1" applyBorder="1"/>
    <xf numFmtId="165" fontId="3" fillId="2" borderId="15" xfId="1" applyNumberFormat="1" applyFont="1" applyFill="1" applyBorder="1"/>
    <xf numFmtId="0" fontId="2" fillId="2" borderId="8" xfId="0" applyFont="1" applyFill="1" applyBorder="1"/>
    <xf numFmtId="165" fontId="2" fillId="5" borderId="0" xfId="1" applyNumberFormat="1" applyFont="1" applyFill="1"/>
    <xf numFmtId="165" fontId="2" fillId="2" borderId="0" xfId="0" applyNumberFormat="1" applyFont="1" applyFill="1"/>
    <xf numFmtId="167" fontId="2" fillId="5" borderId="8" xfId="1" applyNumberFormat="1" applyFont="1" applyFill="1" applyBorder="1"/>
    <xf numFmtId="166" fontId="2" fillId="5" borderId="8" xfId="2" applyNumberFormat="1" applyFont="1" applyFill="1" applyBorder="1"/>
    <xf numFmtId="0" fontId="2" fillId="2" borderId="19" xfId="0" applyFont="1" applyFill="1" applyBorder="1"/>
    <xf numFmtId="0" fontId="2" fillId="5" borderId="0" xfId="0" applyFont="1" applyFill="1"/>
    <xf numFmtId="0" fontId="2" fillId="2" borderId="30" xfId="0" applyFont="1" applyFill="1" applyBorder="1"/>
    <xf numFmtId="0" fontId="2" fillId="2" borderId="32" xfId="0" applyFont="1" applyFill="1" applyBorder="1" applyAlignment="1">
      <alignment horizontal="left" indent="1"/>
    </xf>
    <xf numFmtId="165" fontId="4" fillId="2" borderId="0" xfId="1" applyNumberFormat="1" applyFont="1" applyFill="1" applyBorder="1"/>
    <xf numFmtId="165" fontId="0" fillId="4" borderId="0" xfId="0" applyNumberFormat="1" applyFill="1"/>
    <xf numFmtId="0" fontId="0" fillId="4" borderId="0" xfId="0" applyFill="1"/>
    <xf numFmtId="0" fontId="3" fillId="2" borderId="35" xfId="0" applyFont="1" applyFill="1" applyBorder="1"/>
    <xf numFmtId="165" fontId="3" fillId="2" borderId="15" xfId="0" applyNumberFormat="1" applyFont="1" applyFill="1" applyBorder="1"/>
    <xf numFmtId="165" fontId="3" fillId="2" borderId="14" xfId="0" applyNumberFormat="1" applyFont="1" applyFill="1" applyBorder="1"/>
    <xf numFmtId="0" fontId="3" fillId="4" borderId="0" xfId="0" applyFont="1" applyFill="1"/>
    <xf numFmtId="165" fontId="2" fillId="2" borderId="9" xfId="0" applyNumberFormat="1" applyFont="1" applyFill="1" applyBorder="1"/>
    <xf numFmtId="0" fontId="3" fillId="2" borderId="32" xfId="0" applyFont="1" applyFill="1" applyBorder="1"/>
    <xf numFmtId="165" fontId="7" fillId="2" borderId="0" xfId="0" applyNumberFormat="1" applyFont="1" applyFill="1"/>
    <xf numFmtId="0" fontId="9" fillId="2" borderId="34" xfId="0" applyFont="1" applyFill="1" applyBorder="1"/>
    <xf numFmtId="10" fontId="7" fillId="2" borderId="0" xfId="1" applyNumberFormat="1" applyFont="1" applyFill="1" applyBorder="1"/>
    <xf numFmtId="167" fontId="7" fillId="2" borderId="0" xfId="1" applyNumberFormat="1" applyFont="1" applyFill="1" applyBorder="1"/>
    <xf numFmtId="166" fontId="7" fillId="2" borderId="0" xfId="2" applyNumberFormat="1" applyFont="1" applyFill="1" applyBorder="1"/>
    <xf numFmtId="0" fontId="9" fillId="2" borderId="32" xfId="0" applyFont="1" applyFill="1" applyBorder="1"/>
    <xf numFmtId="0" fontId="2" fillId="2" borderId="32" xfId="0" applyFont="1" applyFill="1" applyBorder="1"/>
    <xf numFmtId="0" fontId="2" fillId="2" borderId="36" xfId="0" applyFont="1" applyFill="1" applyBorder="1"/>
    <xf numFmtId="166" fontId="2" fillId="2" borderId="26" xfId="2" applyNumberFormat="1" applyFont="1" applyFill="1" applyBorder="1"/>
    <xf numFmtId="166" fontId="2" fillId="2" borderId="25" xfId="2" applyNumberFormat="1" applyFont="1" applyFill="1" applyBorder="1"/>
    <xf numFmtId="166" fontId="7" fillId="2" borderId="25" xfId="2" applyNumberFormat="1" applyFont="1" applyFill="1" applyBorder="1"/>
    <xf numFmtId="0" fontId="0" fillId="4" borderId="25" xfId="0" applyFill="1" applyBorder="1"/>
    <xf numFmtId="0" fontId="10" fillId="2" borderId="8" xfId="0" applyFont="1" applyFill="1" applyBorder="1"/>
    <xf numFmtId="0" fontId="7" fillId="2" borderId="8" xfId="0" applyFont="1" applyFill="1" applyBorder="1"/>
    <xf numFmtId="38" fontId="7" fillId="2" borderId="8" xfId="3" applyFont="1" applyFill="1" applyBorder="1"/>
    <xf numFmtId="0" fontId="6" fillId="2" borderId="0" xfId="0" applyFont="1" applyFill="1"/>
    <xf numFmtId="165" fontId="7" fillId="2" borderId="9" xfId="1" applyNumberFormat="1" applyFont="1" applyFill="1" applyBorder="1" applyAlignment="1">
      <alignment horizontal="justify" vertical="center" wrapText="1"/>
    </xf>
    <xf numFmtId="165" fontId="7" fillId="2" borderId="0" xfId="1" applyNumberFormat="1" applyFont="1" applyFill="1" applyAlignment="1">
      <alignment horizontal="justify" vertical="center" wrapText="1"/>
    </xf>
    <xf numFmtId="0" fontId="2" fillId="2" borderId="13" xfId="0" applyFont="1" applyFill="1" applyBorder="1"/>
    <xf numFmtId="165" fontId="7" fillId="2" borderId="9" xfId="1" applyNumberFormat="1" applyFont="1" applyFill="1" applyBorder="1" applyAlignment="1">
      <alignment vertical="center"/>
    </xf>
    <xf numFmtId="165" fontId="7" fillId="2" borderId="0" xfId="1" applyNumberFormat="1" applyFont="1" applyFill="1" applyAlignment="1">
      <alignment vertical="center"/>
    </xf>
    <xf numFmtId="165" fontId="7" fillId="2" borderId="13" xfId="1" applyNumberFormat="1" applyFont="1" applyFill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165" fontId="7" fillId="5" borderId="0" xfId="1" applyNumberFormat="1" applyFont="1" applyFill="1" applyAlignment="1">
      <alignment vertical="center"/>
    </xf>
    <xf numFmtId="0" fontId="2" fillId="2" borderId="4" xfId="0" applyFont="1" applyFill="1" applyBorder="1"/>
    <xf numFmtId="0" fontId="2" fillId="2" borderId="22" xfId="0" applyFont="1" applyFill="1" applyBorder="1"/>
    <xf numFmtId="0" fontId="2" fillId="2" borderId="1" xfId="0" applyFont="1" applyFill="1" applyBorder="1"/>
    <xf numFmtId="0" fontId="2" fillId="2" borderId="20" xfId="0" applyFont="1" applyFill="1" applyBorder="1"/>
    <xf numFmtId="0" fontId="2" fillId="5" borderId="20" xfId="0" applyFont="1" applyFill="1" applyBorder="1"/>
    <xf numFmtId="0" fontId="2" fillId="2" borderId="41" xfId="0" applyFont="1" applyFill="1" applyBorder="1"/>
    <xf numFmtId="0" fontId="2" fillId="2" borderId="28" xfId="0" applyFont="1" applyFill="1" applyBorder="1"/>
    <xf numFmtId="0" fontId="10" fillId="2" borderId="9" xfId="0" applyFont="1" applyFill="1" applyBorder="1"/>
    <xf numFmtId="0" fontId="7" fillId="2" borderId="9" xfId="0" applyFont="1" applyFill="1" applyBorder="1"/>
    <xf numFmtId="38" fontId="7" fillId="2" borderId="9" xfId="3" applyFont="1" applyFill="1" applyBorder="1"/>
    <xf numFmtId="3" fontId="7" fillId="2" borderId="8" xfId="0" applyNumberFormat="1" applyFont="1" applyFill="1" applyBorder="1"/>
    <xf numFmtId="3" fontId="10" fillId="2" borderId="8" xfId="0" applyNumberFormat="1" applyFont="1" applyFill="1" applyBorder="1"/>
    <xf numFmtId="0" fontId="2" fillId="0" borderId="31" xfId="0" applyFont="1" applyBorder="1" applyAlignment="1">
      <alignment vertical="center"/>
    </xf>
    <xf numFmtId="0" fontId="0" fillId="0" borderId="31" xfId="0" applyBorder="1"/>
    <xf numFmtId="0" fontId="10" fillId="10" borderId="2" xfId="0" applyFont="1" applyFill="1" applyBorder="1"/>
    <xf numFmtId="38" fontId="10" fillId="10" borderId="8" xfId="3" applyFont="1" applyFill="1" applyBorder="1"/>
    <xf numFmtId="169" fontId="10" fillId="10" borderId="9" xfId="0" applyNumberFormat="1" applyFont="1" applyFill="1" applyBorder="1" applyAlignment="1">
      <alignment horizontal="center" vertical="center" wrapText="1"/>
    </xf>
    <xf numFmtId="169" fontId="10" fillId="10" borderId="0" xfId="0" applyNumberFormat="1" applyFont="1" applyFill="1" applyAlignment="1">
      <alignment horizontal="center" vertical="center" wrapText="1"/>
    </xf>
    <xf numFmtId="169" fontId="10" fillId="10" borderId="12" xfId="0" applyNumberFormat="1" applyFont="1" applyFill="1" applyBorder="1" applyAlignment="1">
      <alignment horizontal="center" vertical="center" wrapText="1"/>
    </xf>
    <xf numFmtId="169" fontId="10" fillId="10" borderId="24" xfId="0" applyNumberFormat="1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9" xfId="0" applyFont="1" applyBorder="1"/>
    <xf numFmtId="3" fontId="7" fillId="2" borderId="9" xfId="0" applyNumberFormat="1" applyFont="1" applyFill="1" applyBorder="1"/>
    <xf numFmtId="0" fontId="10" fillId="2" borderId="0" xfId="0" applyFont="1" applyFill="1"/>
    <xf numFmtId="0" fontId="2" fillId="2" borderId="24" xfId="0" applyFont="1" applyFill="1" applyBorder="1"/>
    <xf numFmtId="165" fontId="7" fillId="2" borderId="24" xfId="1" applyNumberFormat="1" applyFont="1" applyFill="1" applyBorder="1" applyAlignment="1">
      <alignment vertical="center"/>
    </xf>
    <xf numFmtId="0" fontId="4" fillId="2" borderId="24" xfId="0" applyFont="1" applyFill="1" applyBorder="1"/>
    <xf numFmtId="165" fontId="4" fillId="2" borderId="24" xfId="1" applyNumberFormat="1" applyFont="1" applyFill="1" applyBorder="1"/>
    <xf numFmtId="0" fontId="4" fillId="6" borderId="24" xfId="0" applyFont="1" applyFill="1" applyBorder="1"/>
    <xf numFmtId="0" fontId="4" fillId="6" borderId="12" xfId="0" applyFont="1" applyFill="1" applyBorder="1"/>
    <xf numFmtId="165" fontId="4" fillId="6" borderId="24" xfId="1" applyNumberFormat="1" applyFont="1" applyFill="1" applyBorder="1"/>
    <xf numFmtId="165" fontId="3" fillId="2" borderId="0" xfId="0" applyNumberFormat="1" applyFont="1" applyFill="1"/>
    <xf numFmtId="0" fontId="10" fillId="9" borderId="51" xfId="0" applyFont="1" applyFill="1" applyBorder="1" applyAlignment="1">
      <alignment horizontal="center" vertical="center"/>
    </xf>
    <xf numFmtId="165" fontId="4" fillId="5" borderId="8" xfId="1" applyNumberFormat="1" applyFont="1" applyFill="1" applyBorder="1"/>
    <xf numFmtId="165" fontId="3" fillId="5" borderId="8" xfId="0" applyNumberFormat="1" applyFont="1" applyFill="1" applyBorder="1"/>
    <xf numFmtId="165" fontId="2" fillId="5" borderId="8" xfId="0" applyNumberFormat="1" applyFont="1" applyFill="1" applyBorder="1"/>
    <xf numFmtId="10" fontId="2" fillId="5" borderId="8" xfId="1" applyNumberFormat="1" applyFont="1" applyFill="1" applyBorder="1"/>
    <xf numFmtId="0" fontId="13" fillId="4" borderId="0" xfId="0" applyFont="1" applyFill="1"/>
    <xf numFmtId="0" fontId="14" fillId="4" borderId="0" xfId="0" applyFont="1" applyFill="1"/>
    <xf numFmtId="0" fontId="15" fillId="0" borderId="0" xfId="0" applyFont="1"/>
    <xf numFmtId="0" fontId="16" fillId="11" borderId="6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top"/>
    </xf>
    <xf numFmtId="170" fontId="16" fillId="11" borderId="6" xfId="0" applyNumberFormat="1" applyFont="1" applyFill="1" applyBorder="1" applyAlignment="1">
      <alignment horizontal="center" vertical="top" wrapText="1"/>
    </xf>
    <xf numFmtId="170" fontId="16" fillId="11" borderId="7" xfId="0" applyNumberFormat="1" applyFont="1" applyFill="1" applyBorder="1" applyAlignment="1">
      <alignment horizontal="center" vertical="top" wrapText="1"/>
    </xf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170" fontId="15" fillId="0" borderId="8" xfId="0" applyNumberFormat="1" applyFont="1" applyBorder="1" applyAlignment="1">
      <alignment horizontal="center"/>
    </xf>
    <xf numFmtId="170" fontId="15" fillId="0" borderId="12" xfId="0" applyNumberFormat="1" applyFont="1" applyBorder="1" applyAlignment="1">
      <alignment horizontal="center"/>
    </xf>
    <xf numFmtId="9" fontId="15" fillId="0" borderId="8" xfId="0" applyNumberFormat="1" applyFont="1" applyBorder="1" applyAlignment="1">
      <alignment horizontal="center"/>
    </xf>
    <xf numFmtId="170" fontId="15" fillId="0" borderId="8" xfId="0" quotePrefix="1" applyNumberFormat="1" applyFont="1" applyBorder="1" applyAlignment="1">
      <alignment horizontal="center"/>
    </xf>
    <xf numFmtId="170" fontId="15" fillId="0" borderId="12" xfId="0" quotePrefix="1" applyNumberFormat="1" applyFont="1" applyBorder="1" applyAlignment="1">
      <alignment horizontal="center"/>
    </xf>
    <xf numFmtId="168" fontId="15" fillId="0" borderId="12" xfId="0" applyNumberFormat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68" fontId="17" fillId="0" borderId="12" xfId="0" applyNumberFormat="1" applyFont="1" applyBorder="1" applyAlignment="1">
      <alignment horizontal="center"/>
    </xf>
    <xf numFmtId="0" fontId="15" fillId="0" borderId="22" xfId="0" applyFont="1" applyBorder="1"/>
    <xf numFmtId="0" fontId="15" fillId="0" borderId="22" xfId="0" applyFont="1" applyBorder="1" applyAlignment="1">
      <alignment horizontal="center"/>
    </xf>
    <xf numFmtId="170" fontId="15" fillId="0" borderId="22" xfId="0" applyNumberFormat="1" applyFont="1" applyBorder="1" applyAlignment="1">
      <alignment horizontal="center"/>
    </xf>
    <xf numFmtId="9" fontId="15" fillId="0" borderId="22" xfId="0" applyNumberFormat="1" applyFont="1" applyBorder="1" applyAlignment="1">
      <alignment horizontal="center"/>
    </xf>
    <xf numFmtId="170" fontId="16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12" borderId="15" xfId="0" applyFont="1" applyFill="1" applyBorder="1"/>
    <xf numFmtId="0" fontId="15" fillId="12" borderId="14" xfId="0" applyFont="1" applyFill="1" applyBorder="1"/>
    <xf numFmtId="0" fontId="15" fillId="12" borderId="7" xfId="0" applyFont="1" applyFill="1" applyBorder="1"/>
    <xf numFmtId="0" fontId="15" fillId="0" borderId="6" xfId="0" applyFont="1" applyBorder="1"/>
    <xf numFmtId="0" fontId="15" fillId="0" borderId="15" xfId="0" applyFont="1" applyBorder="1" applyAlignment="1">
      <alignment horizontal="left"/>
    </xf>
    <xf numFmtId="0" fontId="15" fillId="0" borderId="7" xfId="0" applyFont="1" applyBorder="1"/>
    <xf numFmtId="0" fontId="16" fillId="0" borderId="6" xfId="0" applyFont="1" applyBorder="1"/>
    <xf numFmtId="0" fontId="15" fillId="2" borderId="0" xfId="0" applyFont="1" applyFill="1"/>
    <xf numFmtId="0" fontId="16" fillId="11" borderId="2" xfId="0" applyFont="1" applyFill="1" applyBorder="1" applyAlignment="1">
      <alignment vertical="top"/>
    </xf>
    <xf numFmtId="170" fontId="16" fillId="11" borderId="2" xfId="0" applyNumberFormat="1" applyFont="1" applyFill="1" applyBorder="1" applyAlignment="1">
      <alignment horizontal="center" vertical="top" wrapText="1"/>
    </xf>
    <xf numFmtId="0" fontId="15" fillId="0" borderId="2" xfId="0" applyFont="1" applyBorder="1"/>
    <xf numFmtId="170" fontId="15" fillId="0" borderId="2" xfId="0" applyNumberFormat="1" applyFont="1" applyBorder="1" applyAlignment="1">
      <alignment horizontal="center"/>
    </xf>
    <xf numFmtId="170" fontId="17" fillId="0" borderId="2" xfId="0" applyNumberFormat="1" applyFont="1" applyBorder="1" applyAlignment="1">
      <alignment horizontal="center"/>
    </xf>
    <xf numFmtId="9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20" fillId="0" borderId="0" xfId="0" applyFont="1"/>
    <xf numFmtId="170" fontId="17" fillId="0" borderId="12" xfId="0" quotePrefix="1" applyNumberFormat="1" applyFont="1" applyBorder="1" applyAlignment="1">
      <alignment horizontal="center"/>
    </xf>
    <xf numFmtId="170" fontId="17" fillId="0" borderId="8" xfId="0" quotePrefix="1" applyNumberFormat="1" applyFont="1" applyBorder="1" applyAlignment="1">
      <alignment horizontal="center"/>
    </xf>
    <xf numFmtId="0" fontId="20" fillId="2" borderId="0" xfId="0" applyFont="1" applyFill="1"/>
    <xf numFmtId="0" fontId="16" fillId="11" borderId="6" xfId="0" applyFont="1" applyFill="1" applyBorder="1" applyAlignment="1">
      <alignment vertical="center"/>
    </xf>
    <xf numFmtId="0" fontId="16" fillId="11" borderId="6" xfId="0" applyFont="1" applyFill="1" applyBorder="1" applyAlignment="1">
      <alignment horizontal="center" vertical="center"/>
    </xf>
    <xf numFmtId="170" fontId="16" fillId="11" borderId="6" xfId="0" applyNumberFormat="1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/>
    </xf>
    <xf numFmtId="9" fontId="15" fillId="0" borderId="6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171" fontId="15" fillId="0" borderId="0" xfId="1" applyNumberFormat="1" applyFont="1" applyAlignment="1">
      <alignment horizontal="left"/>
    </xf>
    <xf numFmtId="0" fontId="16" fillId="0" borderId="0" xfId="0" applyFont="1" applyAlignment="1">
      <alignment horizontal="right"/>
    </xf>
    <xf numFmtId="171" fontId="16" fillId="0" borderId="14" xfId="0" applyNumberFormat="1" applyFont="1" applyBorder="1"/>
    <xf numFmtId="0" fontId="16" fillId="0" borderId="0" xfId="0" applyFont="1" applyAlignment="1">
      <alignment horizontal="center"/>
    </xf>
    <xf numFmtId="9" fontId="15" fillId="0" borderId="0" xfId="2" applyFont="1" applyAlignment="1">
      <alignment horizontal="center"/>
    </xf>
    <xf numFmtId="9" fontId="16" fillId="0" borderId="14" xfId="0" applyNumberFormat="1" applyFont="1" applyBorder="1" applyAlignment="1">
      <alignment horizontal="center"/>
    </xf>
    <xf numFmtId="169" fontId="21" fillId="9" borderId="2" xfId="0" quotePrefix="1" applyNumberFormat="1" applyFont="1" applyFill="1" applyBorder="1" applyAlignment="1">
      <alignment horizontal="left" vertical="center" wrapText="1"/>
    </xf>
    <xf numFmtId="169" fontId="22" fillId="9" borderId="6" xfId="0" quotePrefix="1" applyNumberFormat="1" applyFont="1" applyFill="1" applyBorder="1" applyAlignment="1">
      <alignment vertical="center" wrapText="1"/>
    </xf>
    <xf numFmtId="169" fontId="21" fillId="9" borderId="0" xfId="0" quotePrefix="1" applyNumberFormat="1" applyFont="1" applyFill="1" applyAlignment="1">
      <alignment horizontal="left" vertical="center" wrapText="1"/>
    </xf>
    <xf numFmtId="0" fontId="23" fillId="9" borderId="0" xfId="0" applyFont="1" applyFill="1"/>
    <xf numFmtId="0" fontId="24" fillId="0" borderId="0" xfId="0" applyFont="1"/>
    <xf numFmtId="169" fontId="21" fillId="9" borderId="8" xfId="0" quotePrefix="1" applyNumberFormat="1" applyFont="1" applyFill="1" applyBorder="1" applyAlignment="1">
      <alignment horizontal="left" vertical="center" wrapText="1"/>
    </xf>
    <xf numFmtId="169" fontId="22" fillId="9" borderId="6" xfId="0" applyNumberFormat="1" applyFont="1" applyFill="1" applyBorder="1" applyAlignment="1">
      <alignment horizontal="center" vertical="center" wrapText="1"/>
    </xf>
    <xf numFmtId="0" fontId="22" fillId="2" borderId="8" xfId="0" applyFont="1" applyFill="1" applyBorder="1"/>
    <xf numFmtId="0" fontId="22" fillId="2" borderId="9" xfId="0" applyFont="1" applyFill="1" applyBorder="1"/>
    <xf numFmtId="38" fontId="23" fillId="2" borderId="9" xfId="3" applyFont="1" applyFill="1" applyBorder="1" applyAlignment="1">
      <alignment horizontal="right"/>
    </xf>
    <xf numFmtId="38" fontId="23" fillId="2" borderId="8" xfId="3" applyFont="1" applyFill="1" applyBorder="1" applyAlignment="1">
      <alignment horizontal="right"/>
    </xf>
    <xf numFmtId="38" fontId="23" fillId="5" borderId="12" xfId="3" applyFont="1" applyFill="1" applyBorder="1" applyAlignment="1">
      <alignment horizontal="right"/>
    </xf>
    <xf numFmtId="38" fontId="23" fillId="2" borderId="24" xfId="3" applyFont="1" applyFill="1" applyBorder="1" applyAlignment="1">
      <alignment horizontal="right"/>
    </xf>
    <xf numFmtId="0" fontId="24" fillId="2" borderId="0" xfId="0" applyFont="1" applyFill="1"/>
    <xf numFmtId="38" fontId="23" fillId="2" borderId="12" xfId="3" applyFont="1" applyFill="1" applyBorder="1" applyAlignment="1">
      <alignment horizontal="right"/>
    </xf>
    <xf numFmtId="0" fontId="23" fillId="2" borderId="8" xfId="0" applyFont="1" applyFill="1" applyBorder="1"/>
    <xf numFmtId="0" fontId="23" fillId="2" borderId="9" xfId="0" applyFont="1" applyFill="1" applyBorder="1"/>
    <xf numFmtId="165" fontId="23" fillId="2" borderId="9" xfId="1" applyNumberFormat="1" applyFont="1" applyFill="1" applyBorder="1" applyAlignment="1">
      <alignment horizontal="right" vertical="center" indent="1"/>
    </xf>
    <xf numFmtId="165" fontId="23" fillId="2" borderId="8" xfId="1" applyNumberFormat="1" applyFont="1" applyFill="1" applyBorder="1" applyAlignment="1">
      <alignment horizontal="right" vertical="center" indent="1"/>
    </xf>
    <xf numFmtId="165" fontId="23" fillId="5" borderId="12" xfId="1" applyNumberFormat="1" applyFont="1" applyFill="1" applyBorder="1" applyAlignment="1">
      <alignment horizontal="right" vertical="center" indent="1"/>
    </xf>
    <xf numFmtId="165" fontId="23" fillId="2" borderId="12" xfId="1" applyNumberFormat="1" applyFont="1" applyFill="1" applyBorder="1" applyAlignment="1">
      <alignment horizontal="right" vertical="center" indent="1"/>
    </xf>
    <xf numFmtId="0" fontId="23" fillId="2" borderId="12" xfId="0" applyFont="1" applyFill="1" applyBorder="1"/>
    <xf numFmtId="38" fontId="23" fillId="2" borderId="8" xfId="3" applyFont="1" applyFill="1" applyBorder="1"/>
    <xf numFmtId="38" fontId="23" fillId="2" borderId="9" xfId="3" applyFont="1" applyFill="1" applyBorder="1"/>
    <xf numFmtId="165" fontId="23" fillId="2" borderId="9" xfId="3" applyNumberFormat="1" applyFont="1" applyFill="1" applyBorder="1" applyAlignment="1">
      <alignment horizontal="right" indent="1"/>
    </xf>
    <xf numFmtId="165" fontId="23" fillId="2" borderId="8" xfId="3" applyNumberFormat="1" applyFont="1" applyFill="1" applyBorder="1" applyAlignment="1">
      <alignment horizontal="right" indent="1"/>
    </xf>
    <xf numFmtId="165" fontId="23" fillId="5" borderId="12" xfId="3" applyNumberFormat="1" applyFont="1" applyFill="1" applyBorder="1" applyAlignment="1">
      <alignment horizontal="right" indent="1"/>
    </xf>
    <xf numFmtId="165" fontId="23" fillId="2" borderId="12" xfId="3" applyNumberFormat="1" applyFont="1" applyFill="1" applyBorder="1" applyAlignment="1">
      <alignment horizontal="right" indent="1"/>
    </xf>
    <xf numFmtId="165" fontId="23" fillId="2" borderId="4" xfId="3" applyNumberFormat="1" applyFont="1" applyFill="1" applyBorder="1" applyAlignment="1">
      <alignment horizontal="right" indent="1"/>
    </xf>
    <xf numFmtId="165" fontId="23" fillId="2" borderId="2" xfId="3" applyNumberFormat="1" applyFont="1" applyFill="1" applyBorder="1" applyAlignment="1">
      <alignment horizontal="right" indent="1"/>
    </xf>
    <xf numFmtId="165" fontId="24" fillId="5" borderId="5" xfId="0" applyNumberFormat="1" applyFont="1" applyFill="1" applyBorder="1"/>
    <xf numFmtId="165" fontId="24" fillId="2" borderId="5" xfId="0" applyNumberFormat="1" applyFont="1" applyFill="1" applyBorder="1"/>
    <xf numFmtId="165" fontId="23" fillId="2" borderId="42" xfId="3" applyNumberFormat="1" applyFont="1" applyFill="1" applyBorder="1" applyAlignment="1">
      <alignment horizontal="right" indent="1"/>
    </xf>
    <xf numFmtId="0" fontId="24" fillId="2" borderId="8" xfId="0" applyFont="1" applyFill="1" applyBorder="1"/>
    <xf numFmtId="0" fontId="24" fillId="2" borderId="9" xfId="0" applyFont="1" applyFill="1" applyBorder="1"/>
    <xf numFmtId="165" fontId="24" fillId="2" borderId="9" xfId="0" applyNumberFormat="1" applyFont="1" applyFill="1" applyBorder="1" applyAlignment="1">
      <alignment horizontal="right" indent="1"/>
    </xf>
    <xf numFmtId="165" fontId="24" fillId="2" borderId="8" xfId="0" applyNumberFormat="1" applyFont="1" applyFill="1" applyBorder="1" applyAlignment="1">
      <alignment horizontal="right" indent="1"/>
    </xf>
    <xf numFmtId="165" fontId="24" fillId="5" borderId="12" xfId="0" applyNumberFormat="1" applyFont="1" applyFill="1" applyBorder="1" applyAlignment="1">
      <alignment horizontal="right" indent="1"/>
    </xf>
    <xf numFmtId="165" fontId="24" fillId="2" borderId="12" xfId="0" applyNumberFormat="1" applyFont="1" applyFill="1" applyBorder="1" applyAlignment="1">
      <alignment horizontal="right" indent="1"/>
    </xf>
    <xf numFmtId="0" fontId="23" fillId="7" borderId="8" xfId="0" applyFont="1" applyFill="1" applyBorder="1"/>
    <xf numFmtId="0" fontId="23" fillId="7" borderId="9" xfId="0" applyFont="1" applyFill="1" applyBorder="1"/>
    <xf numFmtId="165" fontId="23" fillId="2" borderId="22" xfId="1" applyNumberFormat="1" applyFont="1" applyFill="1" applyBorder="1" applyAlignment="1">
      <alignment horizontal="right" vertical="center" indent="1"/>
    </xf>
    <xf numFmtId="165" fontId="23" fillId="5" borderId="7" xfId="4" applyNumberFormat="1" applyFont="1" applyFill="1" applyBorder="1" applyAlignment="1">
      <alignment horizontal="right" vertical="center" indent="1"/>
    </xf>
    <xf numFmtId="38" fontId="23" fillId="2" borderId="12" xfId="3" applyFont="1" applyFill="1" applyBorder="1"/>
    <xf numFmtId="165" fontId="23" fillId="2" borderId="7" xfId="1" applyNumberFormat="1" applyFont="1" applyFill="1" applyBorder="1" applyAlignment="1">
      <alignment horizontal="right" vertical="center" indent="1"/>
    </xf>
    <xf numFmtId="165" fontId="23" fillId="2" borderId="6" xfId="1" applyNumberFormat="1" applyFont="1" applyFill="1" applyBorder="1" applyAlignment="1">
      <alignment horizontal="right" vertical="center" indent="1"/>
    </xf>
    <xf numFmtId="165" fontId="23" fillId="5" borderId="18" xfId="1" applyNumberFormat="1" applyFont="1" applyFill="1" applyBorder="1" applyAlignment="1">
      <alignment horizontal="right" vertical="center" indent="1"/>
    </xf>
    <xf numFmtId="165" fontId="23" fillId="2" borderId="18" xfId="1" applyNumberFormat="1" applyFont="1" applyFill="1" applyBorder="1" applyAlignment="1">
      <alignment horizontal="right" vertical="center" indent="1"/>
    </xf>
    <xf numFmtId="165" fontId="23" fillId="5" borderId="22" xfId="1" applyNumberFormat="1" applyFont="1" applyFill="1" applyBorder="1" applyAlignment="1">
      <alignment horizontal="right" vertical="center" indent="1"/>
    </xf>
    <xf numFmtId="165" fontId="23" fillId="2" borderId="4" xfId="1" applyNumberFormat="1" applyFont="1" applyFill="1" applyBorder="1" applyAlignment="1">
      <alignment horizontal="right" vertical="center" indent="1"/>
    </xf>
    <xf numFmtId="165" fontId="23" fillId="2" borderId="2" xfId="1" applyNumberFormat="1" applyFont="1" applyFill="1" applyBorder="1" applyAlignment="1">
      <alignment horizontal="right" vertical="center" indent="1"/>
    </xf>
    <xf numFmtId="165" fontId="23" fillId="5" borderId="5" xfId="1" applyNumberFormat="1" applyFont="1" applyFill="1" applyBorder="1" applyAlignment="1">
      <alignment horizontal="right" vertical="center" indent="1"/>
    </xf>
    <xf numFmtId="165" fontId="23" fillId="2" borderId="5" xfId="1" applyNumberFormat="1" applyFont="1" applyFill="1" applyBorder="1" applyAlignment="1">
      <alignment horizontal="right" vertical="center" indent="1"/>
    </xf>
    <xf numFmtId="165" fontId="23" fillId="2" borderId="44" xfId="1" applyNumberFormat="1" applyFont="1" applyFill="1" applyBorder="1" applyAlignment="1">
      <alignment horizontal="right" indent="1"/>
    </xf>
    <xf numFmtId="165" fontId="23" fillId="2" borderId="43" xfId="1" applyNumberFormat="1" applyFont="1" applyFill="1" applyBorder="1" applyAlignment="1">
      <alignment horizontal="right" indent="1"/>
    </xf>
    <xf numFmtId="0" fontId="25" fillId="2" borderId="0" xfId="0" applyFont="1" applyFill="1"/>
    <xf numFmtId="164" fontId="24" fillId="2" borderId="0" xfId="0" applyNumberFormat="1" applyFont="1" applyFill="1"/>
    <xf numFmtId="165" fontId="24" fillId="2" borderId="9" xfId="1" applyNumberFormat="1" applyFont="1" applyFill="1" applyBorder="1"/>
    <xf numFmtId="165" fontId="24" fillId="2" borderId="55" xfId="0" applyNumberFormat="1" applyFont="1" applyFill="1" applyBorder="1" applyAlignment="1">
      <alignment horizontal="right" indent="1"/>
    </xf>
    <xf numFmtId="9" fontId="23" fillId="2" borderId="8" xfId="2" applyFont="1" applyFill="1" applyBorder="1" applyAlignment="1">
      <alignment horizontal="right" indent="1"/>
    </xf>
    <xf numFmtId="165" fontId="23" fillId="5" borderId="6" xfId="4" applyNumberFormat="1" applyFont="1" applyFill="1" applyBorder="1" applyAlignment="1">
      <alignment horizontal="right" vertical="center" indent="1"/>
    </xf>
    <xf numFmtId="38" fontId="23" fillId="2" borderId="23" xfId="3" applyFont="1" applyFill="1" applyBorder="1" applyAlignment="1">
      <alignment horizontal="right"/>
    </xf>
    <xf numFmtId="165" fontId="23" fillId="2" borderId="9" xfId="1" applyNumberFormat="1" applyFont="1" applyFill="1" applyBorder="1"/>
    <xf numFmtId="165" fontId="22" fillId="2" borderId="9" xfId="1" applyNumberFormat="1" applyFont="1" applyFill="1" applyBorder="1"/>
    <xf numFmtId="165" fontId="23" fillId="2" borderId="15" xfId="1" applyNumberFormat="1" applyFont="1" applyFill="1" applyBorder="1" applyAlignment="1">
      <alignment horizontal="right" indent="1"/>
    </xf>
    <xf numFmtId="165" fontId="23" fillId="2" borderId="15" xfId="1" applyNumberFormat="1" applyFont="1" applyFill="1" applyBorder="1"/>
    <xf numFmtId="165" fontId="23" fillId="2" borderId="22" xfId="1" applyNumberFormat="1" applyFont="1" applyFill="1" applyBorder="1"/>
    <xf numFmtId="165" fontId="23" fillId="5" borderId="7" xfId="1" applyNumberFormat="1" applyFont="1" applyFill="1" applyBorder="1" applyAlignment="1">
      <alignment horizontal="right" vertical="center" indent="1"/>
    </xf>
    <xf numFmtId="165" fontId="23" fillId="2" borderId="4" xfId="1" applyNumberFormat="1" applyFont="1" applyFill="1" applyBorder="1" applyAlignment="1">
      <alignment horizontal="right" indent="1"/>
    </xf>
    <xf numFmtId="165" fontId="23" fillId="2" borderId="42" xfId="1" applyNumberFormat="1" applyFont="1" applyFill="1" applyBorder="1" applyAlignment="1">
      <alignment horizontal="right" indent="1"/>
    </xf>
    <xf numFmtId="165" fontId="4" fillId="5" borderId="12" xfId="1" applyNumberFormat="1" applyFont="1" applyFill="1" applyBorder="1"/>
    <xf numFmtId="165" fontId="3" fillId="5" borderId="12" xfId="0" applyNumberFormat="1" applyFont="1" applyFill="1" applyBorder="1"/>
    <xf numFmtId="165" fontId="2" fillId="5" borderId="12" xfId="0" applyNumberFormat="1" applyFont="1" applyFill="1" applyBorder="1"/>
    <xf numFmtId="10" fontId="2" fillId="5" borderId="12" xfId="1" applyNumberFormat="1" applyFont="1" applyFill="1" applyBorder="1"/>
    <xf numFmtId="167" fontId="2" fillId="5" borderId="12" xfId="1" applyNumberFormat="1" applyFont="1" applyFill="1" applyBorder="1"/>
    <xf numFmtId="166" fontId="2" fillId="5" borderId="12" xfId="2" applyNumberFormat="1" applyFont="1" applyFill="1" applyBorder="1"/>
    <xf numFmtId="0" fontId="7" fillId="2" borderId="0" xfId="0" applyFont="1" applyFill="1"/>
    <xf numFmtId="165" fontId="7" fillId="2" borderId="3" xfId="1" applyNumberFormat="1" applyFont="1" applyFill="1" applyBorder="1" applyAlignment="1">
      <alignment vertical="center"/>
    </xf>
    <xf numFmtId="165" fontId="7" fillId="2" borderId="5" xfId="1" applyNumberFormat="1" applyFont="1" applyFill="1" applyBorder="1" applyAlignment="1">
      <alignment vertical="center"/>
    </xf>
    <xf numFmtId="165" fontId="7" fillId="2" borderId="4" xfId="1" applyNumberFormat="1" applyFont="1" applyFill="1" applyBorder="1" applyAlignment="1">
      <alignment vertical="center"/>
    </xf>
    <xf numFmtId="165" fontId="7" fillId="5" borderId="3" xfId="1" applyNumberFormat="1" applyFont="1" applyFill="1" applyBorder="1" applyAlignment="1">
      <alignment vertical="center"/>
    </xf>
    <xf numFmtId="165" fontId="7" fillId="2" borderId="18" xfId="1" applyNumberFormat="1" applyFont="1" applyFill="1" applyBorder="1" applyAlignment="1">
      <alignment horizontal="justify" vertical="center" wrapText="1"/>
    </xf>
    <xf numFmtId="165" fontId="10" fillId="9" borderId="52" xfId="1" applyNumberFormat="1" applyFont="1" applyFill="1" applyBorder="1" applyAlignment="1">
      <alignment horizontal="center" vertical="center" wrapText="1"/>
    </xf>
    <xf numFmtId="165" fontId="10" fillId="9" borderId="53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36" fillId="2" borderId="4" xfId="3" applyNumberFormat="1" applyFont="1" applyFill="1" applyBorder="1" applyAlignment="1">
      <alignment horizontal="right" indent="1"/>
    </xf>
    <xf numFmtId="165" fontId="2" fillId="2" borderId="31" xfId="1" applyNumberFormat="1" applyFont="1" applyFill="1" applyBorder="1"/>
    <xf numFmtId="165" fontId="2" fillId="2" borderId="4" xfId="1" applyNumberFormat="1" applyFont="1" applyFill="1" applyBorder="1" applyAlignment="1">
      <alignment horizontal="left" indent="1"/>
    </xf>
    <xf numFmtId="165" fontId="2" fillId="2" borderId="0" xfId="1" applyNumberFormat="1" applyFont="1" applyFill="1" applyAlignment="1">
      <alignment horizontal="left" indent="1"/>
    </xf>
    <xf numFmtId="165" fontId="2" fillId="2" borderId="9" xfId="1" applyNumberFormat="1" applyFont="1" applyFill="1" applyBorder="1" applyAlignment="1">
      <alignment horizontal="left" indent="1"/>
    </xf>
    <xf numFmtId="165" fontId="3" fillId="2" borderId="9" xfId="1" applyNumberFormat="1" applyFont="1" applyFill="1" applyBorder="1"/>
    <xf numFmtId="165" fontId="3" fillId="2" borderId="0" xfId="1" applyNumberFormat="1" applyFont="1" applyFill="1"/>
    <xf numFmtId="165" fontId="9" fillId="2" borderId="9" xfId="1" applyNumberFormat="1" applyFont="1" applyFill="1" applyBorder="1"/>
    <xf numFmtId="165" fontId="9" fillId="2" borderId="0" xfId="1" applyNumberFormat="1" applyFont="1" applyFill="1"/>
    <xf numFmtId="165" fontId="2" fillId="2" borderId="26" xfId="1" applyNumberFormat="1" applyFont="1" applyFill="1" applyBorder="1"/>
    <xf numFmtId="165" fontId="2" fillId="2" borderId="25" xfId="1" applyNumberFormat="1" applyFont="1" applyFill="1" applyBorder="1"/>
    <xf numFmtId="165" fontId="0" fillId="0" borderId="0" xfId="1" applyNumberFormat="1" applyFont="1"/>
    <xf numFmtId="165" fontId="3" fillId="13" borderId="14" xfId="1" applyNumberFormat="1" applyFont="1" applyFill="1" applyBorder="1"/>
    <xf numFmtId="165" fontId="23" fillId="5" borderId="6" xfId="1" applyNumberFormat="1" applyFont="1" applyFill="1" applyBorder="1" applyAlignment="1">
      <alignment horizontal="right" vertical="center" indent="1"/>
    </xf>
    <xf numFmtId="0" fontId="2" fillId="2" borderId="10" xfId="0" applyFont="1" applyFill="1" applyBorder="1"/>
    <xf numFmtId="165" fontId="2" fillId="13" borderId="0" xfId="1" applyNumberFormat="1" applyFont="1" applyFill="1" applyAlignment="1">
      <alignment horizontal="left" indent="1"/>
    </xf>
    <xf numFmtId="165" fontId="10" fillId="9" borderId="31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left" indent="1"/>
    </xf>
    <xf numFmtId="165" fontId="2" fillId="2" borderId="5" xfId="1" applyNumberFormat="1" applyFont="1" applyFill="1" applyBorder="1" applyAlignment="1">
      <alignment horizontal="left" indent="1"/>
    </xf>
    <xf numFmtId="165" fontId="2" fillId="2" borderId="0" xfId="1" applyNumberFormat="1" applyFont="1" applyFill="1" applyBorder="1" applyAlignment="1">
      <alignment horizontal="left" indent="1"/>
    </xf>
    <xf numFmtId="165" fontId="2" fillId="13" borderId="12" xfId="1" applyNumberFormat="1" applyFont="1" applyFill="1" applyBorder="1" applyAlignment="1">
      <alignment horizontal="left" indent="1"/>
    </xf>
    <xf numFmtId="165" fontId="2" fillId="2" borderId="12" xfId="1" applyNumberFormat="1" applyFont="1" applyFill="1" applyBorder="1" applyAlignment="1">
      <alignment horizontal="left" indent="1"/>
    </xf>
    <xf numFmtId="165" fontId="2" fillId="2" borderId="12" xfId="1" applyNumberFormat="1" applyFont="1" applyFill="1" applyBorder="1"/>
    <xf numFmtId="165" fontId="3" fillId="2" borderId="0" xfId="1" applyNumberFormat="1" applyFont="1" applyFill="1" applyBorder="1"/>
    <xf numFmtId="165" fontId="3" fillId="2" borderId="12" xfId="1" applyNumberFormat="1" applyFont="1" applyFill="1" applyBorder="1"/>
    <xf numFmtId="165" fontId="2" fillId="2" borderId="1" xfId="1" applyNumberFormat="1" applyFont="1" applyFill="1" applyBorder="1" applyAlignment="1">
      <alignment horizontal="left" indent="1"/>
    </xf>
    <xf numFmtId="165" fontId="3" fillId="2" borderId="7" xfId="1" applyNumberFormat="1" applyFont="1" applyFill="1" applyBorder="1"/>
    <xf numFmtId="165" fontId="9" fillId="2" borderId="0" xfId="1" applyNumberFormat="1" applyFont="1" applyFill="1" applyBorder="1"/>
    <xf numFmtId="165" fontId="9" fillId="2" borderId="12" xfId="1" applyNumberFormat="1" applyFont="1" applyFill="1" applyBorder="1"/>
    <xf numFmtId="165" fontId="2" fillId="2" borderId="37" xfId="1" applyNumberFormat="1" applyFont="1" applyFill="1" applyBorder="1"/>
    <xf numFmtId="0" fontId="23" fillId="2" borderId="0" xfId="0" applyFont="1" applyFill="1"/>
    <xf numFmtId="165" fontId="23" fillId="5" borderId="43" xfId="1" applyNumberFormat="1" applyFont="1" applyFill="1" applyBorder="1" applyAlignment="1">
      <alignment horizontal="right" vertical="center" indent="1"/>
    </xf>
    <xf numFmtId="165" fontId="23" fillId="5" borderId="44" xfId="1" applyNumberFormat="1" applyFont="1" applyFill="1" applyBorder="1" applyAlignment="1">
      <alignment horizontal="right" vertical="center" indent="1"/>
    </xf>
    <xf numFmtId="38" fontId="23" fillId="2" borderId="0" xfId="3" applyFont="1" applyFill="1"/>
    <xf numFmtId="165" fontId="23" fillId="2" borderId="44" xfId="1" applyNumberFormat="1" applyFont="1" applyFill="1" applyBorder="1" applyAlignment="1">
      <alignment horizontal="right" vertical="center" indent="1"/>
    </xf>
    <xf numFmtId="165" fontId="8" fillId="2" borderId="0" xfId="0" applyNumberFormat="1" applyFont="1" applyFill="1"/>
    <xf numFmtId="165" fontId="8" fillId="2" borderId="9" xfId="1" applyNumberFormat="1" applyFont="1" applyFill="1" applyBorder="1"/>
    <xf numFmtId="165" fontId="8" fillId="2" borderId="0" xfId="1" applyNumberFormat="1" applyFont="1" applyFill="1"/>
    <xf numFmtId="165" fontId="8" fillId="5" borderId="8" xfId="0" applyNumberFormat="1" applyFont="1" applyFill="1" applyBorder="1"/>
    <xf numFmtId="165" fontId="8" fillId="2" borderId="12" xfId="1" applyNumberFormat="1" applyFont="1" applyFill="1" applyBorder="1"/>
    <xf numFmtId="165" fontId="8" fillId="5" borderId="12" xfId="0" applyNumberFormat="1" applyFont="1" applyFill="1" applyBorder="1"/>
    <xf numFmtId="165" fontId="8" fillId="2" borderId="9" xfId="0" applyNumberFormat="1" applyFont="1" applyFill="1" applyBorder="1"/>
    <xf numFmtId="0" fontId="37" fillId="4" borderId="0" xfId="0" applyFont="1" applyFill="1"/>
    <xf numFmtId="0" fontId="37" fillId="0" borderId="0" xfId="0" applyFont="1"/>
    <xf numFmtId="165" fontId="38" fillId="2" borderId="9" xfId="1" applyNumberFormat="1" applyFont="1" applyFill="1" applyBorder="1"/>
    <xf numFmtId="165" fontId="23" fillId="2" borderId="2" xfId="1" applyNumberFormat="1" applyFont="1" applyFill="1" applyBorder="1" applyAlignment="1">
      <alignment horizontal="right" indent="1"/>
    </xf>
    <xf numFmtId="165" fontId="24" fillId="5" borderId="5" xfId="1" applyNumberFormat="1" applyFont="1" applyFill="1" applyBorder="1"/>
    <xf numFmtId="165" fontId="24" fillId="2" borderId="5" xfId="1" applyNumberFormat="1" applyFont="1" applyFill="1" applyBorder="1"/>
    <xf numFmtId="165" fontId="23" fillId="2" borderId="8" xfId="1" applyNumberFormat="1" applyFont="1" applyFill="1" applyBorder="1"/>
    <xf numFmtId="165" fontId="22" fillId="2" borderId="8" xfId="1" applyNumberFormat="1" applyFont="1" applyFill="1" applyBorder="1"/>
    <xf numFmtId="0" fontId="2" fillId="0" borderId="31" xfId="0" applyFont="1" applyBorder="1" applyAlignment="1">
      <alignment horizontal="center" vertical="center"/>
    </xf>
    <xf numFmtId="165" fontId="2" fillId="2" borderId="9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165" fontId="4" fillId="5" borderId="0" xfId="1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5" borderId="0" xfId="0" applyNumberFormat="1" applyFont="1" applyFill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165" fontId="3" fillId="2" borderId="14" xfId="1" applyNumberFormat="1" applyFont="1" applyFill="1" applyBorder="1" applyAlignment="1">
      <alignment horizontal="center"/>
    </xf>
    <xf numFmtId="165" fontId="4" fillId="2" borderId="3" xfId="1" applyNumberFormat="1" applyFont="1" applyFill="1" applyBorder="1"/>
    <xf numFmtId="0" fontId="8" fillId="2" borderId="34" xfId="0" applyFont="1" applyFill="1" applyBorder="1"/>
    <xf numFmtId="165" fontId="23" fillId="2" borderId="15" xfId="1" applyNumberFormat="1" applyFont="1" applyFill="1" applyBorder="1" applyAlignment="1">
      <alignment horizontal="right" vertical="center" indent="1"/>
    </xf>
    <xf numFmtId="165" fontId="7" fillId="2" borderId="12" xfId="1" applyNumberFormat="1" applyFont="1" applyFill="1" applyBorder="1" applyAlignment="1">
      <alignment horizontal="justify" vertical="center" wrapText="1"/>
    </xf>
    <xf numFmtId="165" fontId="23" fillId="2" borderId="19" xfId="3" applyNumberFormat="1" applyFont="1" applyFill="1" applyBorder="1" applyAlignment="1">
      <alignment horizontal="right" indent="1"/>
    </xf>
    <xf numFmtId="165" fontId="23" fillId="5" borderId="14" xfId="4" applyNumberFormat="1" applyFont="1" applyFill="1" applyBorder="1" applyAlignment="1">
      <alignment horizontal="right" vertical="center" indent="1"/>
    </xf>
    <xf numFmtId="165" fontId="5" fillId="2" borderId="24" xfId="1" applyNumberFormat="1" applyFont="1" applyFill="1" applyBorder="1"/>
    <xf numFmtId="165" fontId="7" fillId="5" borderId="5" xfId="1" applyNumberFormat="1" applyFont="1" applyFill="1" applyBorder="1" applyAlignment="1">
      <alignment vertical="center"/>
    </xf>
    <xf numFmtId="165" fontId="2" fillId="2" borderId="13" xfId="1" applyNumberFormat="1" applyFont="1" applyFill="1" applyBorder="1"/>
    <xf numFmtId="165" fontId="7" fillId="5" borderId="12" xfId="1" applyNumberFormat="1" applyFont="1" applyFill="1" applyBorder="1" applyAlignment="1">
      <alignment vertical="center"/>
    </xf>
    <xf numFmtId="165" fontId="5" fillId="6" borderId="12" xfId="1" applyNumberFormat="1" applyFont="1" applyFill="1" applyBorder="1"/>
    <xf numFmtId="165" fontId="23" fillId="2" borderId="6" xfId="1" applyNumberFormat="1" applyFont="1" applyFill="1" applyBorder="1" applyAlignment="1">
      <alignment horizontal="right" indent="1"/>
    </xf>
    <xf numFmtId="0" fontId="9" fillId="0" borderId="0" xfId="0" applyFont="1"/>
    <xf numFmtId="165" fontId="2" fillId="2" borderId="0" xfId="1" applyNumberFormat="1" applyFont="1" applyFill="1" applyAlignment="1">
      <alignment horizontal="center"/>
    </xf>
    <xf numFmtId="165" fontId="2" fillId="5" borderId="0" xfId="1" applyNumberFormat="1" applyFont="1" applyFill="1" applyAlignment="1">
      <alignment horizontal="center"/>
    </xf>
    <xf numFmtId="165" fontId="2" fillId="2" borderId="26" xfId="1" applyNumberFormat="1" applyFont="1" applyFill="1" applyBorder="1" applyAlignment="1">
      <alignment horizontal="center"/>
    </xf>
    <xf numFmtId="165" fontId="2" fillId="2" borderId="25" xfId="1" applyNumberFormat="1" applyFont="1" applyFill="1" applyBorder="1" applyAlignment="1">
      <alignment horizontal="center"/>
    </xf>
    <xf numFmtId="165" fontId="2" fillId="5" borderId="25" xfId="1" applyNumberFormat="1" applyFont="1" applyFill="1" applyBorder="1" applyAlignment="1">
      <alignment horizontal="center"/>
    </xf>
    <xf numFmtId="165" fontId="2" fillId="5" borderId="12" xfId="1" applyNumberFormat="1" applyFont="1" applyFill="1" applyBorder="1" applyAlignment="1">
      <alignment horizontal="center"/>
    </xf>
    <xf numFmtId="165" fontId="2" fillId="13" borderId="9" xfId="1" applyNumberFormat="1" applyFont="1" applyFill="1" applyBorder="1" applyAlignment="1">
      <alignment horizontal="center"/>
    </xf>
    <xf numFmtId="165" fontId="3" fillId="13" borderId="15" xfId="1" applyNumberFormat="1" applyFont="1" applyFill="1" applyBorder="1" applyAlignment="1">
      <alignment horizontal="center"/>
    </xf>
    <xf numFmtId="165" fontId="3" fillId="13" borderId="14" xfId="1" applyNumberFormat="1" applyFont="1" applyFill="1" applyBorder="1" applyAlignment="1">
      <alignment horizontal="center"/>
    </xf>
    <xf numFmtId="165" fontId="2" fillId="13" borderId="9" xfId="1" applyNumberFormat="1" applyFont="1" applyFill="1" applyBorder="1" applyAlignment="1">
      <alignment horizontal="left" indent="1"/>
    </xf>
    <xf numFmtId="165" fontId="3" fillId="13" borderId="15" xfId="1" applyNumberFormat="1" applyFont="1" applyFill="1" applyBorder="1"/>
    <xf numFmtId="165" fontId="3" fillId="13" borderId="7" xfId="1" applyNumberFormat="1" applyFont="1" applyFill="1" applyBorder="1"/>
    <xf numFmtId="0" fontId="10" fillId="4" borderId="51" xfId="0" applyFont="1" applyFill="1" applyBorder="1" applyAlignment="1">
      <alignment horizontal="center" vertical="center"/>
    </xf>
    <xf numFmtId="165" fontId="39" fillId="5" borderId="8" xfId="0" applyNumberFormat="1" applyFont="1" applyFill="1" applyBorder="1"/>
    <xf numFmtId="165" fontId="39" fillId="5" borderId="12" xfId="0" applyNumberFormat="1" applyFont="1" applyFill="1" applyBorder="1"/>
    <xf numFmtId="165" fontId="2" fillId="13" borderId="0" xfId="1" applyNumberFormat="1" applyFont="1" applyFill="1" applyAlignment="1">
      <alignment horizontal="center"/>
    </xf>
    <xf numFmtId="165" fontId="39" fillId="5" borderId="0" xfId="0" applyNumberFormat="1" applyFont="1" applyFill="1" applyAlignment="1">
      <alignment horizontal="center"/>
    </xf>
    <xf numFmtId="165" fontId="39" fillId="2" borderId="0" xfId="0" applyNumberFormat="1" applyFont="1" applyFill="1"/>
    <xf numFmtId="165" fontId="40" fillId="5" borderId="8" xfId="0" applyNumberFormat="1" applyFont="1" applyFill="1" applyBorder="1"/>
    <xf numFmtId="165" fontId="40" fillId="5" borderId="12" xfId="0" applyNumberFormat="1" applyFont="1" applyFill="1" applyBorder="1"/>
    <xf numFmtId="165" fontId="39" fillId="2" borderId="9" xfId="0" applyNumberFormat="1" applyFont="1" applyFill="1" applyBorder="1"/>
    <xf numFmtId="165" fontId="40" fillId="5" borderId="14" xfId="0" applyNumberFormat="1" applyFont="1" applyFill="1" applyBorder="1" applyAlignment="1">
      <alignment horizontal="center"/>
    </xf>
    <xf numFmtId="165" fontId="40" fillId="2" borderId="14" xfId="0" applyNumberFormat="1" applyFont="1" applyFill="1" applyBorder="1"/>
    <xf numFmtId="165" fontId="2" fillId="0" borderId="0" xfId="1" applyNumberFormat="1" applyFont="1" applyFill="1" applyBorder="1"/>
    <xf numFmtId="165" fontId="3" fillId="0" borderId="14" xfId="1" applyNumberFormat="1" applyFont="1" applyFill="1" applyBorder="1"/>
    <xf numFmtId="165" fontId="3" fillId="0" borderId="7" xfId="1" applyNumberFormat="1" applyFont="1" applyFill="1" applyBorder="1"/>
    <xf numFmtId="165" fontId="3" fillId="2" borderId="15" xfId="1" applyNumberFormat="1" applyFont="1" applyFill="1" applyBorder="1" applyAlignment="1">
      <alignment horizontal="center"/>
    </xf>
    <xf numFmtId="164" fontId="4" fillId="2" borderId="0" xfId="1" applyFont="1" applyFill="1" applyBorder="1"/>
    <xf numFmtId="0" fontId="3" fillId="2" borderId="56" xfId="0" applyFont="1" applyFill="1" applyBorder="1"/>
    <xf numFmtId="165" fontId="3" fillId="2" borderId="4" xfId="1" applyNumberFormat="1" applyFont="1" applyFill="1" applyBorder="1"/>
    <xf numFmtId="165" fontId="3" fillId="2" borderId="3" xfId="1" applyNumberFormat="1" applyFont="1" applyFill="1" applyBorder="1"/>
    <xf numFmtId="165" fontId="3" fillId="2" borderId="5" xfId="1" applyNumberFormat="1" applyFont="1" applyFill="1" applyBorder="1"/>
    <xf numFmtId="165" fontId="2" fillId="5" borderId="9" xfId="0" applyNumberFormat="1" applyFont="1" applyFill="1" applyBorder="1"/>
    <xf numFmtId="165" fontId="2" fillId="5" borderId="0" xfId="0" applyNumberFormat="1" applyFont="1" applyFill="1"/>
    <xf numFmtId="165" fontId="2" fillId="2" borderId="4" xfId="0" applyNumberFormat="1" applyFont="1" applyFill="1" applyBorder="1"/>
    <xf numFmtId="165" fontId="2" fillId="2" borderId="3" xfId="0" applyNumberFormat="1" applyFont="1" applyFill="1" applyBorder="1"/>
    <xf numFmtId="165" fontId="2" fillId="2" borderId="5" xfId="0" applyNumberFormat="1" applyFont="1" applyFill="1" applyBorder="1"/>
    <xf numFmtId="165" fontId="2" fillId="2" borderId="4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165" fontId="2" fillId="5" borderId="5" xfId="0" applyNumberFormat="1" applyFont="1" applyFill="1" applyBorder="1" applyAlignment="1">
      <alignment horizontal="center"/>
    </xf>
    <xf numFmtId="0" fontId="0" fillId="4" borderId="3" xfId="0" applyFill="1" applyBorder="1"/>
    <xf numFmtId="0" fontId="42" fillId="2" borderId="34" xfId="0" applyFont="1" applyFill="1" applyBorder="1"/>
    <xf numFmtId="165" fontId="42" fillId="2" borderId="9" xfId="1" applyNumberFormat="1" applyFont="1" applyFill="1" applyBorder="1"/>
    <xf numFmtId="165" fontId="42" fillId="2" borderId="0" xfId="1" applyNumberFormat="1" applyFont="1" applyFill="1"/>
    <xf numFmtId="165" fontId="42" fillId="5" borderId="8" xfId="0" applyNumberFormat="1" applyFont="1" applyFill="1" applyBorder="1"/>
    <xf numFmtId="165" fontId="42" fillId="2" borderId="0" xfId="1" applyNumberFormat="1" applyFont="1" applyFill="1" applyBorder="1"/>
    <xf numFmtId="165" fontId="42" fillId="2" borderId="12" xfId="1" applyNumberFormat="1" applyFont="1" applyFill="1" applyBorder="1"/>
    <xf numFmtId="165" fontId="42" fillId="5" borderId="12" xfId="0" applyNumberFormat="1" applyFont="1" applyFill="1" applyBorder="1"/>
    <xf numFmtId="165" fontId="43" fillId="2" borderId="0" xfId="1" applyNumberFormat="1" applyFont="1" applyFill="1" applyAlignment="1">
      <alignment horizontal="center"/>
    </xf>
    <xf numFmtId="165" fontId="42" fillId="2" borderId="0" xfId="1" applyNumberFormat="1" applyFont="1" applyFill="1" applyAlignment="1">
      <alignment horizontal="center"/>
    </xf>
    <xf numFmtId="165" fontId="42" fillId="5" borderId="0" xfId="1" applyNumberFormat="1" applyFont="1" applyFill="1" applyAlignment="1">
      <alignment horizontal="center"/>
    </xf>
    <xf numFmtId="165" fontId="42" fillId="2" borderId="0" xfId="0" applyNumberFormat="1" applyFont="1" applyFill="1"/>
    <xf numFmtId="0" fontId="43" fillId="4" borderId="0" xfId="0" applyFont="1" applyFill="1"/>
    <xf numFmtId="0" fontId="43" fillId="0" borderId="0" xfId="0" applyFont="1"/>
    <xf numFmtId="165" fontId="42" fillId="0" borderId="0" xfId="1" applyNumberFormat="1" applyFont="1" applyFill="1"/>
    <xf numFmtId="165" fontId="41" fillId="0" borderId="0" xfId="1" applyNumberFormat="1" applyFont="1" applyFill="1" applyAlignment="1">
      <alignment horizontal="center"/>
    </xf>
    <xf numFmtId="165" fontId="10" fillId="0" borderId="0" xfId="1" applyNumberFormat="1" applyFont="1" applyFill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165" fontId="3" fillId="0" borderId="14" xfId="0" applyNumberFormat="1" applyFont="1" applyBorder="1" applyAlignment="1">
      <alignment horizontal="center"/>
    </xf>
    <xf numFmtId="0" fontId="16" fillId="11" borderId="2" xfId="0" applyFont="1" applyFill="1" applyBorder="1" applyAlignment="1">
      <alignment horizontal="center" vertical="top"/>
    </xf>
    <xf numFmtId="9" fontId="15" fillId="0" borderId="2" xfId="0" applyNumberFormat="1" applyFont="1" applyBorder="1" applyAlignment="1">
      <alignment horizontal="center"/>
    </xf>
    <xf numFmtId="0" fontId="15" fillId="12" borderId="6" xfId="0" applyFont="1" applyFill="1" applyBorder="1"/>
    <xf numFmtId="0" fontId="14" fillId="4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12" borderId="14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171" fontId="15" fillId="0" borderId="0" xfId="1" applyNumberFormat="1" applyFont="1" applyAlignment="1">
      <alignment horizontal="center"/>
    </xf>
    <xf numFmtId="171" fontId="16" fillId="0" borderId="14" xfId="1" applyNumberFormat="1" applyFont="1" applyBorder="1" applyAlignment="1">
      <alignment horizontal="center"/>
    </xf>
    <xf numFmtId="171" fontId="15" fillId="0" borderId="0" xfId="1" applyNumberFormat="1" applyFont="1" applyAlignment="1">
      <alignment horizontal="right"/>
    </xf>
    <xf numFmtId="165" fontId="7" fillId="8" borderId="15" xfId="1" applyNumberFormat="1" applyFont="1" applyFill="1" applyBorder="1" applyAlignment="1">
      <alignment vertical="center"/>
    </xf>
    <xf numFmtId="165" fontId="7" fillId="8" borderId="14" xfId="1" applyNumberFormat="1" applyFont="1" applyFill="1" applyBorder="1" applyAlignment="1">
      <alignment vertical="center"/>
    </xf>
    <xf numFmtId="165" fontId="7" fillId="8" borderId="7" xfId="1" applyNumberFormat="1" applyFont="1" applyFill="1" applyBorder="1" applyAlignment="1">
      <alignment vertical="center"/>
    </xf>
    <xf numFmtId="3" fontId="10" fillId="8" borderId="8" xfId="0" applyNumberFormat="1" applyFont="1" applyFill="1" applyBorder="1"/>
    <xf numFmtId="4" fontId="17" fillId="0" borderId="8" xfId="0" applyNumberFormat="1" applyFont="1" applyBorder="1" applyAlignment="1">
      <alignment horizontal="center"/>
    </xf>
    <xf numFmtId="165" fontId="0" fillId="0" borderId="0" xfId="0" applyNumberFormat="1"/>
    <xf numFmtId="165" fontId="3" fillId="2" borderId="47" xfId="1" applyNumberFormat="1" applyFont="1" applyFill="1" applyBorder="1"/>
    <xf numFmtId="165" fontId="3" fillId="2" borderId="47" xfId="0" applyNumberFormat="1" applyFont="1" applyFill="1" applyBorder="1"/>
    <xf numFmtId="165" fontId="10" fillId="9" borderId="57" xfId="1" applyNumberFormat="1" applyFont="1" applyFill="1" applyBorder="1" applyAlignment="1">
      <alignment horizontal="center" vertical="center" wrapText="1"/>
    </xf>
    <xf numFmtId="165" fontId="10" fillId="9" borderId="58" xfId="1" applyNumberFormat="1" applyFont="1" applyFill="1" applyBorder="1" applyAlignment="1">
      <alignment horizontal="center" vertical="center" wrapText="1"/>
    </xf>
    <xf numFmtId="165" fontId="2" fillId="2" borderId="34" xfId="1" applyNumberFormat="1" applyFont="1" applyFill="1" applyBorder="1"/>
    <xf numFmtId="165" fontId="2" fillId="2" borderId="33" xfId="0" applyNumberFormat="1" applyFont="1" applyFill="1" applyBorder="1"/>
    <xf numFmtId="165" fontId="3" fillId="2" borderId="59" xfId="1" applyNumberFormat="1" applyFont="1" applyFill="1" applyBorder="1"/>
    <xf numFmtId="165" fontId="3" fillId="2" borderId="60" xfId="0" applyNumberFormat="1" applyFont="1" applyFill="1" applyBorder="1"/>
    <xf numFmtId="165" fontId="8" fillId="2" borderId="34" xfId="1" applyNumberFormat="1" applyFont="1" applyFill="1" applyBorder="1"/>
    <xf numFmtId="165" fontId="8" fillId="2" borderId="0" xfId="1" applyNumberFormat="1" applyFont="1" applyFill="1" applyBorder="1"/>
    <xf numFmtId="165" fontId="8" fillId="2" borderId="33" xfId="0" applyNumberFormat="1" applyFont="1" applyFill="1" applyBorder="1"/>
    <xf numFmtId="165" fontId="43" fillId="2" borderId="34" xfId="1" applyNumberFormat="1" applyFont="1" applyFill="1" applyBorder="1"/>
    <xf numFmtId="165" fontId="43" fillId="2" borderId="0" xfId="1" applyNumberFormat="1" applyFont="1" applyFill="1" applyBorder="1"/>
    <xf numFmtId="165" fontId="43" fillId="2" borderId="0" xfId="0" applyNumberFormat="1" applyFont="1" applyFill="1"/>
    <xf numFmtId="165" fontId="43" fillId="2" borderId="33" xfId="0" applyNumberFormat="1" applyFont="1" applyFill="1" applyBorder="1"/>
    <xf numFmtId="165" fontId="0" fillId="2" borderId="34" xfId="1" applyNumberFormat="1" applyFont="1" applyFill="1" applyBorder="1"/>
    <xf numFmtId="165" fontId="0" fillId="2" borderId="0" xfId="1" applyNumberFormat="1" applyFont="1" applyFill="1" applyBorder="1"/>
    <xf numFmtId="165" fontId="0" fillId="2" borderId="0" xfId="0" applyNumberFormat="1" applyFill="1"/>
    <xf numFmtId="165" fontId="0" fillId="2" borderId="33" xfId="0" applyNumberFormat="1" applyFill="1" applyBorder="1"/>
    <xf numFmtId="165" fontId="0" fillId="2" borderId="39" xfId="1" applyNumberFormat="1" applyFont="1" applyFill="1" applyBorder="1"/>
    <xf numFmtId="165" fontId="0" fillId="2" borderId="25" xfId="1" applyNumberFormat="1" applyFont="1" applyFill="1" applyBorder="1"/>
    <xf numFmtId="165" fontId="0" fillId="2" borderId="25" xfId="0" applyNumberFormat="1" applyFill="1" applyBorder="1"/>
    <xf numFmtId="165" fontId="0" fillId="2" borderId="38" xfId="0" applyNumberFormat="1" applyFill="1" applyBorder="1"/>
    <xf numFmtId="0" fontId="18" fillId="0" borderId="0" xfId="0" applyFont="1" applyAlignment="1">
      <alignment horizontal="left" vertical="top"/>
    </xf>
    <xf numFmtId="170" fontId="16" fillId="0" borderId="0" xfId="0" applyNumberFormat="1" applyFont="1" applyAlignment="1">
      <alignment horizontal="center"/>
    </xf>
    <xf numFmtId="0" fontId="16" fillId="0" borderId="0" xfId="0" applyFont="1"/>
    <xf numFmtId="0" fontId="15" fillId="0" borderId="2" xfId="0" applyFont="1" applyBorder="1" applyAlignment="1">
      <alignment horizontal="center"/>
    </xf>
    <xf numFmtId="0" fontId="16" fillId="0" borderId="22" xfId="0" applyFont="1" applyBorder="1"/>
    <xf numFmtId="0" fontId="16" fillId="0" borderId="6" xfId="0" applyFont="1" applyBorder="1" applyAlignment="1">
      <alignment horizontal="center"/>
    </xf>
    <xf numFmtId="170" fontId="16" fillId="0" borderId="22" xfId="0" applyNumberFormat="1" applyFont="1" applyBorder="1" applyAlignment="1">
      <alignment horizontal="center"/>
    </xf>
    <xf numFmtId="0" fontId="16" fillId="0" borderId="4" xfId="0" applyFont="1" applyBorder="1"/>
    <xf numFmtId="0" fontId="15" fillId="0" borderId="5" xfId="0" applyFont="1" applyBorder="1" applyAlignment="1">
      <alignment horizontal="center"/>
    </xf>
    <xf numFmtId="170" fontId="16" fillId="0" borderId="5" xfId="0" applyNumberFormat="1" applyFont="1" applyBorder="1" applyAlignment="1">
      <alignment horizontal="center"/>
    </xf>
    <xf numFmtId="0" fontId="15" fillId="0" borderId="9" xfId="0" applyFont="1" applyBorder="1"/>
    <xf numFmtId="170" fontId="16" fillId="0" borderId="7" xfId="0" applyNumberFormat="1" applyFont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0" fontId="15" fillId="0" borderId="7" xfId="0" applyFont="1" applyBorder="1" applyAlignment="1">
      <alignment horizontal="center"/>
    </xf>
    <xf numFmtId="0" fontId="0" fillId="0" borderId="15" xfId="0" applyBorder="1"/>
    <xf numFmtId="0" fontId="0" fillId="0" borderId="14" xfId="0" applyBorder="1" applyAlignment="1">
      <alignment horizontal="center"/>
    </xf>
    <xf numFmtId="0" fontId="0" fillId="0" borderId="7" xfId="0" applyBorder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/>
    </xf>
    <xf numFmtId="170" fontId="15" fillId="0" borderId="0" xfId="0" applyNumberFormat="1" applyFont="1" applyAlignment="1">
      <alignment horizontal="center"/>
    </xf>
    <xf numFmtId="0" fontId="16" fillId="12" borderId="6" xfId="0" applyFont="1" applyFill="1" applyBorder="1" applyAlignment="1">
      <alignment vertical="top"/>
    </xf>
    <xf numFmtId="0" fontId="16" fillId="12" borderId="6" xfId="0" applyFont="1" applyFill="1" applyBorder="1" applyAlignment="1">
      <alignment horizontal="center" vertical="top"/>
    </xf>
    <xf numFmtId="170" fontId="16" fillId="12" borderId="6" xfId="0" applyNumberFormat="1" applyFont="1" applyFill="1" applyBorder="1" applyAlignment="1">
      <alignment horizontal="center" vertical="top" wrapText="1"/>
    </xf>
    <xf numFmtId="0" fontId="16" fillId="12" borderId="15" xfId="0" applyFont="1" applyFill="1" applyBorder="1" applyAlignment="1">
      <alignment vertical="center"/>
    </xf>
    <xf numFmtId="0" fontId="15" fillId="12" borderId="7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top" wrapText="1"/>
    </xf>
    <xf numFmtId="3" fontId="15" fillId="0" borderId="12" xfId="0" applyNumberFormat="1" applyFont="1" applyBorder="1" applyAlignment="1">
      <alignment horizontal="center"/>
    </xf>
    <xf numFmtId="170" fontId="15" fillId="0" borderId="6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168" fontId="15" fillId="0" borderId="8" xfId="0" applyNumberFormat="1" applyFont="1" applyBorder="1" applyAlignment="1">
      <alignment horizontal="center"/>
    </xf>
    <xf numFmtId="9" fontId="15" fillId="0" borderId="2" xfId="2" applyFont="1" applyBorder="1" applyAlignment="1">
      <alignment horizontal="center"/>
    </xf>
    <xf numFmtId="9" fontId="15" fillId="0" borderId="8" xfId="2" applyFont="1" applyBorder="1" applyAlignment="1">
      <alignment horizontal="center"/>
    </xf>
    <xf numFmtId="9" fontId="16" fillId="0" borderId="6" xfId="0" applyNumberFormat="1" applyFont="1" applyBorder="1" applyAlignment="1">
      <alignment horizontal="center"/>
    </xf>
    <xf numFmtId="171" fontId="15" fillId="0" borderId="2" xfId="1" applyNumberFormat="1" applyFont="1" applyBorder="1"/>
    <xf numFmtId="171" fontId="15" fillId="0" borderId="8" xfId="1" applyNumberFormat="1" applyFont="1" applyBorder="1"/>
    <xf numFmtId="171" fontId="16" fillId="0" borderId="6" xfId="1" applyNumberFormat="1" applyFont="1" applyBorder="1"/>
    <xf numFmtId="171" fontId="15" fillId="0" borderId="2" xfId="1" applyNumberFormat="1" applyFont="1" applyBorder="1" applyAlignment="1">
      <alignment horizontal="center"/>
    </xf>
    <xf numFmtId="171" fontId="15" fillId="0" borderId="8" xfId="1" applyNumberFormat="1" applyFont="1" applyBorder="1" applyAlignment="1">
      <alignment horizontal="center"/>
    </xf>
    <xf numFmtId="171" fontId="16" fillId="0" borderId="6" xfId="1" applyNumberFormat="1" applyFont="1" applyBorder="1" applyAlignment="1">
      <alignment horizontal="center"/>
    </xf>
    <xf numFmtId="171" fontId="15" fillId="0" borderId="2" xfId="1" applyNumberFormat="1" applyFont="1" applyBorder="1" applyAlignment="1">
      <alignment horizontal="left"/>
    </xf>
    <xf numFmtId="171" fontId="15" fillId="0" borderId="8" xfId="1" applyNumberFormat="1" applyFont="1" applyBorder="1" applyAlignment="1">
      <alignment horizontal="left"/>
    </xf>
    <xf numFmtId="171" fontId="15" fillId="0" borderId="8" xfId="1" applyNumberFormat="1" applyFont="1" applyBorder="1" applyAlignment="1">
      <alignment horizontal="right"/>
    </xf>
    <xf numFmtId="171" fontId="16" fillId="0" borderId="6" xfId="0" applyNumberFormat="1" applyFont="1" applyBorder="1"/>
    <xf numFmtId="172" fontId="15" fillId="0" borderId="8" xfId="1" applyNumberFormat="1" applyFont="1" applyBorder="1" applyAlignment="1">
      <alignment horizontal="center"/>
    </xf>
    <xf numFmtId="171" fontId="16" fillId="0" borderId="6" xfId="0" applyNumberFormat="1" applyFont="1" applyBorder="1" applyAlignment="1">
      <alignment horizontal="center"/>
    </xf>
    <xf numFmtId="0" fontId="16" fillId="12" borderId="15" xfId="0" applyFont="1" applyFill="1" applyBorder="1" applyAlignment="1">
      <alignment vertical="top"/>
    </xf>
    <xf numFmtId="170" fontId="16" fillId="0" borderId="8" xfId="0" applyNumberFormat="1" applyFont="1" applyBorder="1" applyAlignment="1">
      <alignment horizontal="center"/>
    </xf>
    <xf numFmtId="43" fontId="0" fillId="0" borderId="0" xfId="0" applyNumberFormat="1"/>
    <xf numFmtId="170" fontId="51" fillId="12" borderId="6" xfId="0" applyNumberFormat="1" applyFont="1" applyFill="1" applyBorder="1" applyAlignment="1">
      <alignment horizontal="center" vertical="top" wrapText="1"/>
    </xf>
    <xf numFmtId="0" fontId="50" fillId="0" borderId="0" xfId="0" applyFont="1" applyAlignment="1">
      <alignment horizontal="center"/>
    </xf>
    <xf numFmtId="164" fontId="0" fillId="0" borderId="0" xfId="1" applyFont="1"/>
    <xf numFmtId="164" fontId="50" fillId="0" borderId="0" xfId="1" applyFont="1"/>
    <xf numFmtId="0" fontId="17" fillId="0" borderId="8" xfId="0" applyFont="1" applyBorder="1"/>
    <xf numFmtId="170" fontId="15" fillId="0" borderId="0" xfId="0" applyNumberFormat="1" applyFont="1" applyAlignment="1">
      <alignment horizontal="left"/>
    </xf>
    <xf numFmtId="165" fontId="7" fillId="2" borderId="64" xfId="1" applyNumberFormat="1" applyFont="1" applyFill="1" applyBorder="1" applyAlignment="1">
      <alignment vertical="center"/>
    </xf>
    <xf numFmtId="165" fontId="40" fillId="2" borderId="0" xfId="0" applyNumberFormat="1" applyFont="1" applyFill="1"/>
    <xf numFmtId="165" fontId="4" fillId="2" borderId="9" xfId="1" applyNumberFormat="1" applyFont="1" applyFill="1" applyBorder="1"/>
    <xf numFmtId="165" fontId="3" fillId="2" borderId="9" xfId="0" applyNumberFormat="1" applyFont="1" applyFill="1" applyBorder="1"/>
    <xf numFmtId="165" fontId="7" fillId="2" borderId="9" xfId="0" applyNumberFormat="1" applyFont="1" applyFill="1" applyBorder="1"/>
    <xf numFmtId="10" fontId="7" fillId="2" borderId="9" xfId="1" applyNumberFormat="1" applyFont="1" applyFill="1" applyBorder="1"/>
    <xf numFmtId="167" fontId="7" fillId="2" borderId="9" xfId="1" applyNumberFormat="1" applyFont="1" applyFill="1" applyBorder="1"/>
    <xf numFmtId="166" fontId="7" fillId="2" borderId="9" xfId="2" applyNumberFormat="1" applyFont="1" applyFill="1" applyBorder="1"/>
    <xf numFmtId="166" fontId="7" fillId="2" borderId="26" xfId="2" applyNumberFormat="1" applyFont="1" applyFill="1" applyBorder="1"/>
    <xf numFmtId="3" fontId="16" fillId="0" borderId="6" xfId="0" applyNumberFormat="1" applyFont="1" applyBorder="1" applyAlignment="1">
      <alignment horizontal="center"/>
    </xf>
    <xf numFmtId="0" fontId="26" fillId="0" borderId="1" xfId="0" applyFont="1" applyBorder="1"/>
    <xf numFmtId="0" fontId="26" fillId="2" borderId="0" xfId="0" applyFont="1" applyFill="1"/>
    <xf numFmtId="0" fontId="26" fillId="4" borderId="1" xfId="0" applyFont="1" applyFill="1" applyBorder="1"/>
    <xf numFmtId="0" fontId="24" fillId="2" borderId="0" xfId="0" applyFont="1" applyFill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2" borderId="8" xfId="0" applyFont="1" applyFill="1" applyBorder="1" applyAlignment="1">
      <alignment horizontal="left" indent="1"/>
    </xf>
    <xf numFmtId="167" fontId="27" fillId="2" borderId="24" xfId="1" applyNumberFormat="1" applyFont="1" applyFill="1" applyBorder="1" applyProtection="1"/>
    <xf numFmtId="165" fontId="28" fillId="2" borderId="13" xfId="1" applyNumberFormat="1" applyFont="1" applyFill="1" applyBorder="1" applyProtection="1"/>
    <xf numFmtId="167" fontId="27" fillId="2" borderId="10" xfId="1" applyNumberFormat="1" applyFont="1" applyFill="1" applyBorder="1" applyProtection="1"/>
    <xf numFmtId="165" fontId="28" fillId="2" borderId="11" xfId="1" applyNumberFormat="1" applyFont="1" applyFill="1" applyBorder="1" applyProtection="1"/>
    <xf numFmtId="167" fontId="27" fillId="2" borderId="12" xfId="1" applyNumberFormat="1" applyFont="1" applyFill="1" applyBorder="1" applyProtection="1"/>
    <xf numFmtId="0" fontId="45" fillId="2" borderId="0" xfId="0" applyFont="1" applyFill="1"/>
    <xf numFmtId="0" fontId="45" fillId="5" borderId="8" xfId="0" quotePrefix="1" applyFont="1" applyFill="1" applyBorder="1" applyAlignment="1">
      <alignment horizontal="left" indent="1"/>
    </xf>
    <xf numFmtId="167" fontId="45" fillId="2" borderId="24" xfId="1" applyNumberFormat="1" applyFont="1" applyFill="1" applyBorder="1" applyProtection="1"/>
    <xf numFmtId="0" fontId="47" fillId="2" borderId="8" xfId="0" applyFont="1" applyFill="1" applyBorder="1" applyAlignment="1">
      <alignment horizontal="center" vertical="center"/>
    </xf>
    <xf numFmtId="165" fontId="45" fillId="2" borderId="0" xfId="1" applyNumberFormat="1" applyFont="1" applyFill="1" applyBorder="1" applyProtection="1"/>
    <xf numFmtId="167" fontId="45" fillId="2" borderId="10" xfId="1" applyNumberFormat="1" applyFont="1" applyFill="1" applyBorder="1" applyProtection="1"/>
    <xf numFmtId="165" fontId="45" fillId="2" borderId="24" xfId="1" applyNumberFormat="1" applyFont="1" applyFill="1" applyBorder="1" applyProtection="1"/>
    <xf numFmtId="165" fontId="45" fillId="2" borderId="11" xfId="1" applyNumberFormat="1" applyFont="1" applyFill="1" applyBorder="1" applyProtection="1"/>
    <xf numFmtId="167" fontId="45" fillId="2" borderId="12" xfId="1" applyNumberFormat="1" applyFont="1" applyFill="1" applyBorder="1" applyProtection="1"/>
    <xf numFmtId="0" fontId="45" fillId="0" borderId="0" xfId="0" applyFont="1"/>
    <xf numFmtId="0" fontId="45" fillId="2" borderId="8" xfId="0" quotePrefix="1" applyFont="1" applyFill="1" applyBorder="1" applyAlignment="1">
      <alignment horizontal="left" indent="1"/>
    </xf>
    <xf numFmtId="167" fontId="24" fillId="2" borderId="24" xfId="1" applyNumberFormat="1" applyFont="1" applyFill="1" applyBorder="1" applyProtection="1"/>
    <xf numFmtId="165" fontId="24" fillId="2" borderId="0" xfId="1" applyNumberFormat="1" applyFont="1" applyFill="1" applyBorder="1" applyProtection="1"/>
    <xf numFmtId="167" fontId="24" fillId="2" borderId="10" xfId="1" applyNumberFormat="1" applyFont="1" applyFill="1" applyBorder="1" applyProtection="1"/>
    <xf numFmtId="165" fontId="28" fillId="2" borderId="24" xfId="1" applyNumberFormat="1" applyFont="1" applyFill="1" applyBorder="1" applyProtection="1"/>
    <xf numFmtId="167" fontId="23" fillId="2" borderId="24" xfId="1" applyNumberFormat="1" applyFont="1" applyFill="1" applyBorder="1" applyProtection="1"/>
    <xf numFmtId="167" fontId="23" fillId="2" borderId="10" xfId="1" applyNumberFormat="1" applyFont="1" applyFill="1" applyBorder="1" applyProtection="1"/>
    <xf numFmtId="167" fontId="23" fillId="2" borderId="12" xfId="1" applyNumberFormat="1" applyFont="1" applyFill="1" applyBorder="1" applyProtection="1"/>
    <xf numFmtId="0" fontId="27" fillId="2" borderId="6" xfId="0" applyFont="1" applyFill="1" applyBorder="1"/>
    <xf numFmtId="167" fontId="32" fillId="2" borderId="46" xfId="1" applyNumberFormat="1" applyFont="1" applyFill="1" applyBorder="1" applyProtection="1"/>
    <xf numFmtId="167" fontId="32" fillId="2" borderId="16" xfId="1" applyNumberFormat="1" applyFont="1" applyFill="1" applyBorder="1" applyProtection="1"/>
    <xf numFmtId="167" fontId="32" fillId="2" borderId="7" xfId="1" applyNumberFormat="1" applyFont="1" applyFill="1" applyBorder="1" applyProtection="1"/>
    <xf numFmtId="167" fontId="24" fillId="2" borderId="12" xfId="1" applyNumberFormat="1" applyFont="1" applyFill="1" applyBorder="1" applyProtection="1"/>
    <xf numFmtId="167" fontId="32" fillId="0" borderId="45" xfId="1" applyNumberFormat="1" applyFont="1" applyBorder="1" applyProtection="1"/>
    <xf numFmtId="167" fontId="32" fillId="0" borderId="65" xfId="1" applyNumberFormat="1" applyFont="1" applyBorder="1" applyProtection="1"/>
    <xf numFmtId="167" fontId="32" fillId="0" borderId="66" xfId="1" applyNumberFormat="1" applyFont="1" applyBorder="1" applyProtection="1"/>
    <xf numFmtId="166" fontId="24" fillId="2" borderId="0" xfId="2" applyNumberFormat="1" applyFont="1" applyFill="1" applyProtection="1"/>
    <xf numFmtId="166" fontId="34" fillId="2" borderId="8" xfId="2" applyNumberFormat="1" applyFont="1" applyFill="1" applyBorder="1" applyAlignment="1" applyProtection="1">
      <alignment horizontal="left" vertical="center" wrapText="1" indent="1" readingOrder="1"/>
    </xf>
    <xf numFmtId="9" fontId="34" fillId="6" borderId="24" xfId="2" applyFont="1" applyFill="1" applyBorder="1" applyProtection="1"/>
    <xf numFmtId="9" fontId="34" fillId="6" borderId="61" xfId="2" applyFont="1" applyFill="1" applyBorder="1" applyProtection="1"/>
    <xf numFmtId="9" fontId="34" fillId="6" borderId="67" xfId="2" applyFont="1" applyFill="1" applyBorder="1" applyProtection="1"/>
    <xf numFmtId="9" fontId="28" fillId="2" borderId="11" xfId="2" applyFont="1" applyFill="1" applyBorder="1" applyProtection="1"/>
    <xf numFmtId="167" fontId="24" fillId="2" borderId="8" xfId="1" applyNumberFormat="1" applyFont="1" applyFill="1" applyBorder="1" applyProtection="1"/>
    <xf numFmtId="166" fontId="29" fillId="14" borderId="13" xfId="0" applyNumberFormat="1" applyFont="1" applyFill="1" applyBorder="1"/>
    <xf numFmtId="166" fontId="29" fillId="14" borderId="63" xfId="0" applyNumberFormat="1" applyFont="1" applyFill="1" applyBorder="1"/>
    <xf numFmtId="0" fontId="32" fillId="2" borderId="2" xfId="0" applyFont="1" applyFill="1" applyBorder="1" applyAlignment="1">
      <alignment horizontal="left" vertical="center" wrapText="1" readingOrder="1"/>
    </xf>
    <xf numFmtId="167" fontId="32" fillId="6" borderId="24" xfId="1" applyNumberFormat="1" applyFont="1" applyFill="1" applyBorder="1" applyProtection="1"/>
    <xf numFmtId="165" fontId="24" fillId="2" borderId="0" xfId="1" applyNumberFormat="1" applyFont="1" applyFill="1" applyProtection="1"/>
    <xf numFmtId="167" fontId="32" fillId="6" borderId="10" xfId="1" applyNumberFormat="1" applyFont="1" applyFill="1" applyBorder="1" applyProtection="1"/>
    <xf numFmtId="167" fontId="32" fillId="6" borderId="8" xfId="1" applyNumberFormat="1" applyFont="1" applyFill="1" applyBorder="1" applyProtection="1"/>
    <xf numFmtId="166" fontId="34" fillId="2" borderId="22" xfId="2" applyNumberFormat="1" applyFont="1" applyFill="1" applyBorder="1" applyAlignment="1" applyProtection="1">
      <alignment horizontal="left" vertical="center" wrapText="1" indent="1" readingOrder="1"/>
    </xf>
    <xf numFmtId="9" fontId="34" fillId="6" borderId="29" xfId="2" applyFont="1" applyFill="1" applyBorder="1" applyProtection="1"/>
    <xf numFmtId="9" fontId="34" fillId="6" borderId="21" xfId="2" applyFont="1" applyFill="1" applyBorder="1" applyProtection="1"/>
    <xf numFmtId="2" fontId="29" fillId="14" borderId="63" xfId="0" applyNumberFormat="1" applyFont="1" applyFill="1" applyBorder="1"/>
    <xf numFmtId="9" fontId="34" fillId="6" borderId="22" xfId="2" applyFont="1" applyFill="1" applyBorder="1" applyProtection="1"/>
    <xf numFmtId="0" fontId="28" fillId="2" borderId="8" xfId="0" applyFont="1" applyFill="1" applyBorder="1" applyAlignment="1">
      <alignment horizontal="left" vertical="center" wrapText="1" readingOrder="1"/>
    </xf>
    <xf numFmtId="167" fontId="24" fillId="2" borderId="24" xfId="1" applyNumberFormat="1" applyFont="1" applyFill="1" applyBorder="1" applyAlignment="1" applyProtection="1">
      <alignment vertical="center"/>
    </xf>
    <xf numFmtId="167" fontId="24" fillId="2" borderId="10" xfId="1" applyNumberFormat="1" applyFont="1" applyFill="1" applyBorder="1" applyAlignment="1" applyProtection="1">
      <alignment vertical="center"/>
    </xf>
    <xf numFmtId="166" fontId="29" fillId="14" borderId="0" xfId="0" applyNumberFormat="1" applyFont="1" applyFill="1"/>
    <xf numFmtId="167" fontId="24" fillId="2" borderId="8" xfId="1" applyNumberFormat="1" applyFont="1" applyFill="1" applyBorder="1" applyAlignment="1" applyProtection="1">
      <alignment vertical="center"/>
    </xf>
    <xf numFmtId="0" fontId="32" fillId="2" borderId="6" xfId="0" applyFont="1" applyFill="1" applyBorder="1" applyAlignment="1">
      <alignment horizontal="left" vertical="center" wrapText="1" readingOrder="1"/>
    </xf>
    <xf numFmtId="167" fontId="32" fillId="6" borderId="46" xfId="1" applyNumberFormat="1" applyFont="1" applyFill="1" applyBorder="1" applyProtection="1"/>
    <xf numFmtId="167" fontId="32" fillId="6" borderId="16" xfId="1" applyNumberFormat="1" applyFont="1" applyFill="1" applyBorder="1" applyProtection="1"/>
    <xf numFmtId="166" fontId="33" fillId="14" borderId="64" xfId="2" applyNumberFormat="1" applyFont="1" applyFill="1" applyBorder="1" applyProtection="1"/>
    <xf numFmtId="167" fontId="32" fillId="6" borderId="6" xfId="1" applyNumberFormat="1" applyFont="1" applyFill="1" applyBorder="1" applyProtection="1"/>
    <xf numFmtId="167" fontId="28" fillId="6" borderId="24" xfId="1" applyNumberFormat="1" applyFont="1" applyFill="1" applyBorder="1" applyProtection="1"/>
    <xf numFmtId="167" fontId="28" fillId="6" borderId="10" xfId="1" applyNumberFormat="1" applyFont="1" applyFill="1" applyBorder="1" applyProtection="1"/>
    <xf numFmtId="166" fontId="29" fillId="14" borderId="4" xfId="0" applyNumberFormat="1" applyFont="1" applyFill="1" applyBorder="1"/>
    <xf numFmtId="167" fontId="28" fillId="6" borderId="8" xfId="1" applyNumberFormat="1" applyFont="1" applyFill="1" applyBorder="1" applyProtection="1"/>
    <xf numFmtId="166" fontId="33" fillId="14" borderId="62" xfId="2" applyNumberFormat="1" applyFont="1" applyFill="1" applyBorder="1" applyProtection="1"/>
    <xf numFmtId="0" fontId="32" fillId="2" borderId="8" xfId="0" applyFont="1" applyFill="1" applyBorder="1" applyAlignment="1">
      <alignment horizontal="left" vertical="center" wrapText="1" readingOrder="1"/>
    </xf>
    <xf numFmtId="166" fontId="29" fillId="14" borderId="62" xfId="2" applyNumberFormat="1" applyFont="1" applyFill="1" applyBorder="1" applyProtection="1"/>
    <xf numFmtId="166" fontId="29" fillId="14" borderId="64" xfId="2" applyNumberFormat="1" applyFont="1" applyFill="1" applyBorder="1" applyProtection="1"/>
    <xf numFmtId="0" fontId="27" fillId="2" borderId="2" xfId="0" applyFont="1" applyFill="1" applyBorder="1"/>
    <xf numFmtId="167" fontId="32" fillId="6" borderId="23" xfId="1" applyNumberFormat="1" applyFont="1" applyFill="1" applyBorder="1" applyProtection="1"/>
    <xf numFmtId="166" fontId="33" fillId="14" borderId="64" xfId="0" applyNumberFormat="1" applyFont="1" applyFill="1" applyBorder="1"/>
    <xf numFmtId="167" fontId="32" fillId="6" borderId="2" xfId="1" applyNumberFormat="1" applyFont="1" applyFill="1" applyBorder="1" applyProtection="1"/>
    <xf numFmtId="9" fontId="34" fillId="6" borderId="10" xfId="2" applyFont="1" applyFill="1" applyBorder="1" applyProtection="1"/>
    <xf numFmtId="9" fontId="34" fillId="6" borderId="12" xfId="2" applyFont="1" applyFill="1" applyBorder="1" applyProtection="1"/>
    <xf numFmtId="2" fontId="29" fillId="14" borderId="13" xfId="0" applyNumberFormat="1" applyFont="1" applyFill="1" applyBorder="1"/>
    <xf numFmtId="0" fontId="24" fillId="2" borderId="19" xfId="0" applyFont="1" applyFill="1" applyBorder="1"/>
    <xf numFmtId="167" fontId="30" fillId="2" borderId="21" xfId="1" applyNumberFormat="1" applyFont="1" applyFill="1" applyBorder="1" applyAlignment="1" applyProtection="1">
      <alignment vertical="center"/>
    </xf>
    <xf numFmtId="0" fontId="26" fillId="2" borderId="12" xfId="0" applyFont="1" applyFill="1" applyBorder="1" applyAlignment="1">
      <alignment horizontal="center" vertical="center"/>
    </xf>
    <xf numFmtId="167" fontId="30" fillId="2" borderId="22" xfId="1" applyNumberFormat="1" applyFont="1" applyFill="1" applyBorder="1" applyAlignment="1" applyProtection="1">
      <alignment vertical="center"/>
    </xf>
    <xf numFmtId="0" fontId="27" fillId="2" borderId="8" xfId="0" applyFont="1" applyFill="1" applyBorder="1"/>
    <xf numFmtId="167" fontId="21" fillId="2" borderId="54" xfId="1" applyNumberFormat="1" applyFont="1" applyFill="1" applyBorder="1" applyAlignment="1" applyProtection="1">
      <alignment vertical="center"/>
    </xf>
    <xf numFmtId="167" fontId="21" fillId="2" borderId="23" xfId="1" applyNumberFormat="1" applyFont="1" applyFill="1" applyBorder="1" applyAlignment="1" applyProtection="1">
      <alignment vertical="center"/>
    </xf>
    <xf numFmtId="167" fontId="21" fillId="0" borderId="23" xfId="1" applyNumberFormat="1" applyFont="1" applyFill="1" applyBorder="1" applyAlignment="1" applyProtection="1">
      <alignment vertical="center"/>
    </xf>
    <xf numFmtId="2" fontId="29" fillId="14" borderId="62" xfId="0" applyNumberFormat="1" applyFont="1" applyFill="1" applyBorder="1"/>
    <xf numFmtId="167" fontId="21" fillId="2" borderId="16" xfId="1" applyNumberFormat="1" applyFont="1" applyFill="1" applyBorder="1" applyAlignment="1" applyProtection="1">
      <alignment vertical="center"/>
    </xf>
    <xf numFmtId="167" fontId="21" fillId="2" borderId="6" xfId="1" applyNumberFormat="1" applyFont="1" applyFill="1" applyBorder="1" applyAlignment="1" applyProtection="1">
      <alignment vertical="center"/>
    </xf>
    <xf numFmtId="166" fontId="25" fillId="2" borderId="0" xfId="2" applyNumberFormat="1" applyFont="1" applyFill="1" applyProtection="1"/>
    <xf numFmtId="166" fontId="34" fillId="2" borderId="6" xfId="2" applyNumberFormat="1" applyFont="1" applyFill="1" applyBorder="1" applyAlignment="1" applyProtection="1">
      <alignment horizontal="left" vertical="center" wrapText="1" indent="1" readingOrder="1"/>
    </xf>
    <xf numFmtId="9" fontId="34" fillId="6" borderId="46" xfId="2" applyFont="1" applyFill="1" applyBorder="1" applyProtection="1"/>
    <xf numFmtId="9" fontId="34" fillId="6" borderId="7" xfId="2" applyFont="1" applyFill="1" applyBorder="1" applyProtection="1"/>
    <xf numFmtId="0" fontId="48" fillId="2" borderId="0" xfId="0" applyFont="1" applyFill="1" applyAlignment="1">
      <alignment horizontal="center" vertical="center"/>
    </xf>
    <xf numFmtId="9" fontId="34" fillId="6" borderId="16" xfId="2" applyFont="1" applyFill="1" applyBorder="1" applyProtection="1"/>
    <xf numFmtId="165" fontId="25" fillId="2" borderId="0" xfId="1" applyNumberFormat="1" applyFont="1" applyFill="1" applyBorder="1" applyProtection="1"/>
    <xf numFmtId="165" fontId="31" fillId="2" borderId="0" xfId="1" applyNumberFormat="1" applyFont="1" applyFill="1" applyBorder="1" applyProtection="1"/>
    <xf numFmtId="9" fontId="34" fillId="6" borderId="17" xfId="2" applyFont="1" applyFill="1" applyBorder="1" applyProtection="1"/>
    <xf numFmtId="165" fontId="31" fillId="2" borderId="24" xfId="1" applyNumberFormat="1" applyFont="1" applyFill="1" applyBorder="1" applyProtection="1"/>
    <xf numFmtId="2" fontId="34" fillId="14" borderId="13" xfId="0" applyNumberFormat="1" applyFont="1" applyFill="1" applyBorder="1"/>
    <xf numFmtId="0" fontId="25" fillId="0" borderId="0" xfId="0" applyFont="1"/>
    <xf numFmtId="166" fontId="25" fillId="2" borderId="0" xfId="2" applyNumberFormat="1" applyFont="1" applyFill="1" applyBorder="1" applyProtection="1"/>
    <xf numFmtId="166" fontId="34" fillId="2" borderId="0" xfId="2" applyNumberFormat="1" applyFont="1" applyFill="1" applyBorder="1" applyAlignment="1" applyProtection="1">
      <alignment horizontal="left" vertical="center" wrapText="1" indent="1" readingOrder="1"/>
    </xf>
    <xf numFmtId="9" fontId="34" fillId="6" borderId="0" xfId="2" applyFont="1" applyFill="1" applyBorder="1" applyProtection="1"/>
    <xf numFmtId="2" fontId="34" fillId="14" borderId="0" xfId="0" applyNumberFormat="1" applyFont="1" applyFill="1"/>
    <xf numFmtId="0" fontId="26" fillId="4" borderId="9" xfId="0" applyFont="1" applyFill="1" applyBorder="1" applyAlignment="1">
      <alignment vertical="center"/>
    </xf>
    <xf numFmtId="165" fontId="26" fillId="3" borderId="9" xfId="1" applyNumberFormat="1" applyFont="1" applyFill="1" applyBorder="1" applyAlignment="1" applyProtection="1">
      <alignment horizontal="center" vertical="center" wrapText="1"/>
    </xf>
    <xf numFmtId="165" fontId="24" fillId="2" borderId="24" xfId="1" applyNumberFormat="1" applyFont="1" applyFill="1" applyBorder="1" applyProtection="1"/>
    <xf numFmtId="165" fontId="26" fillId="4" borderId="0" xfId="1" applyNumberFormat="1" applyFont="1" applyFill="1" applyBorder="1" applyAlignment="1" applyProtection="1">
      <alignment horizontal="center" vertical="center" wrapText="1"/>
    </xf>
    <xf numFmtId="164" fontId="24" fillId="2" borderId="12" xfId="1" applyFont="1" applyFill="1" applyBorder="1" applyProtection="1"/>
    <xf numFmtId="166" fontId="29" fillId="14" borderId="10" xfId="0" applyNumberFormat="1" applyFont="1" applyFill="1" applyBorder="1"/>
    <xf numFmtId="164" fontId="28" fillId="6" borderId="12" xfId="1" applyFont="1" applyFill="1" applyBorder="1" applyProtection="1"/>
    <xf numFmtId="166" fontId="28" fillId="6" borderId="12" xfId="2" applyNumberFormat="1" applyFont="1" applyFill="1" applyBorder="1" applyProtection="1"/>
    <xf numFmtId="0" fontId="28" fillId="6" borderId="18" xfId="1" applyNumberFormat="1" applyFont="1" applyFill="1" applyBorder="1" applyProtection="1"/>
    <xf numFmtId="166" fontId="29" fillId="14" borderId="21" xfId="0" applyNumberFormat="1" applyFont="1" applyFill="1" applyBorder="1"/>
    <xf numFmtId="0" fontId="26" fillId="4" borderId="3" xfId="0" applyFont="1" applyFill="1" applyBorder="1" applyAlignment="1">
      <alignment horizontal="left" vertical="center"/>
    </xf>
    <xf numFmtId="0" fontId="45" fillId="2" borderId="6" xfId="0" applyFont="1" applyFill="1" applyBorder="1"/>
    <xf numFmtId="9" fontId="45" fillId="2" borderId="6" xfId="0" applyNumberFormat="1" applyFont="1" applyFill="1" applyBorder="1" applyAlignment="1">
      <alignment horizontal="center" vertical="center" readingOrder="1"/>
    </xf>
    <xf numFmtId="0" fontId="28" fillId="2" borderId="0" xfId="0" applyFont="1" applyFill="1" applyAlignment="1">
      <alignment horizontal="left" vertical="center" indent="1" readingOrder="1"/>
    </xf>
    <xf numFmtId="0" fontId="24" fillId="4" borderId="0" xfId="0" applyFont="1" applyFill="1"/>
    <xf numFmtId="9" fontId="45" fillId="2" borderId="6" xfId="2" applyFont="1" applyFill="1" applyBorder="1" applyAlignment="1" applyProtection="1">
      <alignment horizontal="center" vertical="center" readingOrder="1"/>
    </xf>
    <xf numFmtId="0" fontId="28" fillId="2" borderId="0" xfId="0" applyFont="1" applyFill="1" applyAlignment="1">
      <alignment horizontal="center" vertical="center" readingOrder="1"/>
    </xf>
    <xf numFmtId="165" fontId="24" fillId="2" borderId="0" xfId="1" applyNumberFormat="1" applyFont="1" applyFill="1" applyAlignment="1" applyProtection="1">
      <alignment horizontal="center"/>
    </xf>
    <xf numFmtId="165" fontId="24" fillId="4" borderId="0" xfId="1" applyNumberFormat="1" applyFont="1" applyFill="1" applyProtection="1"/>
    <xf numFmtId="9" fontId="45" fillId="2" borderId="6" xfId="2" applyFont="1" applyFill="1" applyBorder="1" applyAlignment="1" applyProtection="1">
      <alignment horizontal="center"/>
    </xf>
    <xf numFmtId="165" fontId="28" fillId="2" borderId="0" xfId="1" applyNumberFormat="1" applyFont="1" applyFill="1" applyProtection="1"/>
    <xf numFmtId="0" fontId="45" fillId="0" borderId="6" xfId="0" applyFont="1" applyBorder="1"/>
    <xf numFmtId="9" fontId="45" fillId="0" borderId="6" xfId="0" applyNumberFormat="1" applyFont="1" applyBorder="1" applyAlignment="1">
      <alignment horizontal="center"/>
    </xf>
    <xf numFmtId="2" fontId="45" fillId="0" borderId="6" xfId="0" applyNumberFormat="1" applyFont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/>
    </xf>
    <xf numFmtId="2" fontId="24" fillId="0" borderId="0" xfId="0" applyNumberFormat="1" applyFont="1"/>
    <xf numFmtId="0" fontId="24" fillId="0" borderId="0" xfId="0" quotePrefix="1" applyFont="1"/>
    <xf numFmtId="3" fontId="15" fillId="0" borderId="12" xfId="0" quotePrefix="1" applyNumberFormat="1" applyFont="1" applyBorder="1" applyAlignment="1">
      <alignment horizontal="center"/>
    </xf>
    <xf numFmtId="170" fontId="15" fillId="0" borderId="6" xfId="0" quotePrefix="1" applyNumberFormat="1" applyFont="1" applyBorder="1" applyAlignment="1">
      <alignment horizontal="center"/>
    </xf>
    <xf numFmtId="9" fontId="24" fillId="0" borderId="0" xfId="2" applyFont="1"/>
    <xf numFmtId="9" fontId="26" fillId="0" borderId="1" xfId="2" applyFont="1" applyBorder="1"/>
    <xf numFmtId="9" fontId="26" fillId="4" borderId="3" xfId="2" applyFont="1" applyFill="1" applyBorder="1" applyAlignment="1">
      <alignment horizontal="center" vertical="center"/>
    </xf>
    <xf numFmtId="9" fontId="32" fillId="6" borderId="10" xfId="2" applyFont="1" applyFill="1" applyBorder="1" applyProtection="1"/>
    <xf numFmtId="9" fontId="24" fillId="2" borderId="10" xfId="2" applyFont="1" applyFill="1" applyBorder="1" applyAlignment="1" applyProtection="1">
      <alignment vertical="center"/>
    </xf>
    <xf numFmtId="9" fontId="32" fillId="6" borderId="16" xfId="2" applyFont="1" applyFill="1" applyBorder="1" applyProtection="1"/>
    <xf numFmtId="9" fontId="28" fillId="6" borderId="10" xfId="2" applyFont="1" applyFill="1" applyBorder="1" applyProtection="1"/>
    <xf numFmtId="9" fontId="24" fillId="2" borderId="10" xfId="2" applyFont="1" applyFill="1" applyBorder="1" applyProtection="1"/>
    <xf numFmtId="9" fontId="32" fillId="6" borderId="23" xfId="2" applyFont="1" applyFill="1" applyBorder="1" applyProtection="1"/>
    <xf numFmtId="9" fontId="28" fillId="6" borderId="8" xfId="2" applyFont="1" applyFill="1" applyBorder="1" applyProtection="1"/>
    <xf numFmtId="9" fontId="30" fillId="2" borderId="21" xfId="2" applyFont="1" applyFill="1" applyBorder="1" applyAlignment="1" applyProtection="1">
      <alignment vertical="center"/>
    </xf>
    <xf numFmtId="9" fontId="21" fillId="0" borderId="23" xfId="2" applyFont="1" applyFill="1" applyBorder="1" applyAlignment="1" applyProtection="1">
      <alignment vertical="center"/>
    </xf>
    <xf numFmtId="9" fontId="26" fillId="3" borderId="9" xfId="2" applyFont="1" applyFill="1" applyBorder="1" applyAlignment="1" applyProtection="1">
      <alignment horizontal="center" vertical="center" wrapText="1"/>
    </xf>
    <xf numFmtId="9" fontId="24" fillId="2" borderId="12" xfId="2" applyFont="1" applyFill="1" applyBorder="1" applyProtection="1"/>
    <xf numFmtId="9" fontId="28" fillId="6" borderId="12" xfId="2" applyFont="1" applyFill="1" applyBorder="1" applyProtection="1"/>
    <xf numFmtId="9" fontId="28" fillId="6" borderId="18" xfId="2" applyFont="1" applyFill="1" applyBorder="1" applyProtection="1"/>
    <xf numFmtId="9" fontId="45" fillId="2" borderId="6" xfId="2" applyFont="1" applyFill="1" applyBorder="1" applyAlignment="1">
      <alignment horizontal="center" vertical="center" readingOrder="1"/>
    </xf>
    <xf numFmtId="9" fontId="45" fillId="0" borderId="6" xfId="2" applyFont="1" applyBorder="1" applyAlignment="1">
      <alignment horizontal="center"/>
    </xf>
    <xf numFmtId="9" fontId="45" fillId="0" borderId="6" xfId="2" applyFont="1" applyBorder="1" applyAlignment="1">
      <alignment horizontal="center" vertical="center"/>
    </xf>
    <xf numFmtId="9" fontId="24" fillId="0" borderId="0" xfId="2" applyFont="1" applyAlignment="1">
      <alignment horizontal="center" vertical="center"/>
    </xf>
    <xf numFmtId="9" fontId="24" fillId="0" borderId="0" xfId="2" applyFont="1" applyAlignment="1">
      <alignment horizontal="center"/>
    </xf>
    <xf numFmtId="164" fontId="34" fillId="6" borderId="0" xfId="1" applyFont="1" applyFill="1" applyBorder="1" applyProtection="1"/>
    <xf numFmtId="9" fontId="27" fillId="2" borderId="23" xfId="2" applyFont="1" applyFill="1" applyBorder="1" applyProtection="1"/>
    <xf numFmtId="9" fontId="27" fillId="2" borderId="5" xfId="2" applyFont="1" applyFill="1" applyBorder="1" applyProtection="1"/>
    <xf numFmtId="9" fontId="45" fillId="2" borderId="10" xfId="2" applyFont="1" applyFill="1" applyBorder="1" applyProtection="1"/>
    <xf numFmtId="9" fontId="45" fillId="2" borderId="12" xfId="2" applyFont="1" applyFill="1" applyBorder="1" applyProtection="1"/>
    <xf numFmtId="9" fontId="23" fillId="2" borderId="10" xfId="2" applyFont="1" applyFill="1" applyBorder="1" applyProtection="1"/>
    <xf numFmtId="9" fontId="23" fillId="2" borderId="12" xfId="2" applyFont="1" applyFill="1" applyBorder="1" applyProtection="1"/>
    <xf numFmtId="9" fontId="32" fillId="2" borderId="16" xfId="2" applyFont="1" applyFill="1" applyBorder="1" applyProtection="1"/>
    <xf numFmtId="9" fontId="32" fillId="2" borderId="7" xfId="2" applyFont="1" applyFill="1" applyBorder="1" applyProtection="1"/>
    <xf numFmtId="9" fontId="32" fillId="0" borderId="65" xfId="2" applyFont="1" applyBorder="1" applyProtection="1"/>
    <xf numFmtId="9" fontId="32" fillId="0" borderId="66" xfId="2" applyFont="1" applyBorder="1" applyProtection="1"/>
    <xf numFmtId="9" fontId="32" fillId="6" borderId="8" xfId="2" applyFont="1" applyFill="1" applyBorder="1" applyProtection="1"/>
    <xf numFmtId="9" fontId="24" fillId="2" borderId="8" xfId="2" applyFont="1" applyFill="1" applyBorder="1" applyAlignment="1" applyProtection="1">
      <alignment vertical="center"/>
    </xf>
    <xf numFmtId="9" fontId="32" fillId="6" borderId="6" xfId="2" applyFont="1" applyFill="1" applyBorder="1" applyProtection="1"/>
    <xf numFmtId="9" fontId="24" fillId="2" borderId="8" xfId="2" applyFont="1" applyFill="1" applyBorder="1" applyProtection="1"/>
    <xf numFmtId="9" fontId="32" fillId="6" borderId="2" xfId="2" applyFont="1" applyFill="1" applyBorder="1" applyProtection="1"/>
    <xf numFmtId="9" fontId="30" fillId="2" borderId="22" xfId="2" applyFont="1" applyFill="1" applyBorder="1" applyAlignment="1" applyProtection="1">
      <alignment vertical="center"/>
    </xf>
    <xf numFmtId="9" fontId="21" fillId="0" borderId="2" xfId="2" applyFont="1" applyFill="1" applyBorder="1" applyAlignment="1" applyProtection="1">
      <alignment vertical="center"/>
    </xf>
    <xf numFmtId="9" fontId="34" fillId="6" borderId="68" xfId="2" applyFont="1" applyFill="1" applyBorder="1" applyProtection="1"/>
    <xf numFmtId="9" fontId="34" fillId="6" borderId="69" xfId="2" applyFont="1" applyFill="1" applyBorder="1" applyProtection="1"/>
    <xf numFmtId="0" fontId="22" fillId="9" borderId="19" xfId="0" applyFont="1" applyFill="1" applyBorder="1" applyAlignment="1">
      <alignment horizontal="center"/>
    </xf>
    <xf numFmtId="0" fontId="22" fillId="9" borderId="1" xfId="0" applyFont="1" applyFill="1" applyBorder="1" applyAlignment="1">
      <alignment horizontal="center"/>
    </xf>
    <xf numFmtId="0" fontId="22" fillId="9" borderId="18" xfId="0" applyFont="1" applyFill="1" applyBorder="1" applyAlignment="1">
      <alignment horizontal="center"/>
    </xf>
    <xf numFmtId="0" fontId="22" fillId="9" borderId="48" xfId="0" applyFont="1" applyFill="1" applyBorder="1" applyAlignment="1">
      <alignment horizontal="center"/>
    </xf>
    <xf numFmtId="0" fontId="22" fillId="9" borderId="49" xfId="0" applyFont="1" applyFill="1" applyBorder="1" applyAlignment="1">
      <alignment horizontal="center"/>
    </xf>
    <xf numFmtId="0" fontId="22" fillId="9" borderId="50" xfId="0" applyFont="1" applyFill="1" applyBorder="1" applyAlignment="1">
      <alignment horizontal="center"/>
    </xf>
    <xf numFmtId="169" fontId="22" fillId="9" borderId="15" xfId="0" quotePrefix="1" applyNumberFormat="1" applyFont="1" applyFill="1" applyBorder="1" applyAlignment="1">
      <alignment horizontal="center" vertical="center" wrapText="1"/>
    </xf>
    <xf numFmtId="169" fontId="22" fillId="9" borderId="14" xfId="0" quotePrefix="1" applyNumberFormat="1" applyFont="1" applyFill="1" applyBorder="1" applyAlignment="1">
      <alignment horizontal="center" vertical="center" wrapText="1"/>
    </xf>
    <xf numFmtId="169" fontId="22" fillId="9" borderId="7" xfId="0" quotePrefix="1" applyNumberFormat="1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0" fillId="10" borderId="40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10" fillId="10" borderId="12" xfId="0" applyFont="1" applyFill="1" applyBorder="1" applyAlignment="1">
      <alignment horizontal="center"/>
    </xf>
    <xf numFmtId="165" fontId="44" fillId="0" borderId="4" xfId="0" applyNumberFormat="1" applyFont="1" applyBorder="1" applyAlignment="1">
      <alignment horizontal="left" wrapText="1"/>
    </xf>
    <xf numFmtId="165" fontId="44" fillId="0" borderId="3" xfId="0" applyNumberFormat="1" applyFont="1" applyBorder="1" applyAlignment="1">
      <alignment horizontal="left" wrapText="1"/>
    </xf>
    <xf numFmtId="165" fontId="44" fillId="0" borderId="5" xfId="0" applyNumberFormat="1" applyFont="1" applyBorder="1" applyAlignment="1">
      <alignment horizontal="left" wrapText="1"/>
    </xf>
    <xf numFmtId="165" fontId="41" fillId="2" borderId="4" xfId="1" applyNumberFormat="1" applyFont="1" applyFill="1" applyBorder="1" applyAlignment="1">
      <alignment horizontal="left" vertical="top" wrapText="1"/>
    </xf>
    <xf numFmtId="165" fontId="41" fillId="2" borderId="3" xfId="1" applyNumberFormat="1" applyFont="1" applyFill="1" applyBorder="1" applyAlignment="1">
      <alignment horizontal="left" vertical="top" wrapText="1"/>
    </xf>
    <xf numFmtId="165" fontId="41" fillId="2" borderId="5" xfId="1" applyNumberFormat="1" applyFont="1" applyFill="1" applyBorder="1" applyAlignment="1">
      <alignment horizontal="left" vertical="top" wrapText="1"/>
    </xf>
    <xf numFmtId="165" fontId="44" fillId="0" borderId="4" xfId="0" applyNumberFormat="1" applyFont="1" applyBorder="1" applyAlignment="1">
      <alignment horizontal="left" vertical="top" wrapText="1"/>
    </xf>
    <xf numFmtId="165" fontId="44" fillId="0" borderId="3" xfId="0" applyNumberFormat="1" applyFont="1" applyBorder="1" applyAlignment="1">
      <alignment horizontal="left" vertical="top" wrapText="1"/>
    </xf>
    <xf numFmtId="165" fontId="44" fillId="0" borderId="5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right"/>
    </xf>
    <xf numFmtId="0" fontId="16" fillId="0" borderId="15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0" xfId="0" applyFont="1" applyAlignment="1">
      <alignment horizontal="center" vertical="top" wrapText="1"/>
    </xf>
    <xf numFmtId="170" fontId="16" fillId="11" borderId="6" xfId="0" applyNumberFormat="1" applyFont="1" applyFill="1" applyBorder="1" applyAlignment="1">
      <alignment horizontal="center" vertical="top" wrapText="1"/>
    </xf>
    <xf numFmtId="170" fontId="49" fillId="11" borderId="6" xfId="0" applyNumberFormat="1" applyFont="1" applyFill="1" applyBorder="1" applyAlignment="1">
      <alignment horizontal="center" vertical="top" wrapText="1"/>
    </xf>
    <xf numFmtId="0" fontId="16" fillId="11" borderId="6" xfId="0" applyFont="1" applyFill="1" applyBorder="1" applyAlignment="1">
      <alignment horizontal="center" vertical="top"/>
    </xf>
    <xf numFmtId="0" fontId="16" fillId="11" borderId="6" xfId="0" applyFont="1" applyFill="1" applyBorder="1" applyAlignment="1">
      <alignment horizontal="center" vertical="top" wrapText="1"/>
    </xf>
  </cellXfs>
  <cellStyles count="5">
    <cellStyle name="Comma" xfId="1" builtinId="3"/>
    <cellStyle name="Comma 2 3" xfId="4" xr:uid="{28146512-E611-4DEB-8888-AF1FE960B8E2}"/>
    <cellStyle name="Custom - Style8" xfId="3" xr:uid="{DE0CCA48-59D2-4ACF-AA7D-BF70C435AD33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2019/QFR%20Q2%202019%20v18_SAS%20update.xlsx" TargetMode="External"/><Relationship Id="rId1" Type="http://schemas.openxmlformats.org/officeDocument/2006/relationships/externalLinkPath" Target="2019/QFR%20Q2%202019%20v18_SAS%20updat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21/QFR%20Q3%202021%20v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/QFR%20Q4%202021%20v12%20(dated)%20-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/1.%20QFR%20Q1%202022%20v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22/1.%20QFR%20Q2%202022%20v18%20(dated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zzat.aminuddin\UEM%20Sunrise%20Bhd\IR%20Team%20-%20Quarterly%20Analyst%20Briefing\Financial%20summary\2022\1.%20QFR%20Q3%202022%20-%20v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zzat.aminuddin\UEM%20Sunrise%20Bhd\IR%20Team%20-%20Quarterly%20Analyst%20Briefing\Financial%20summary\2022\1.%20QFR%20Q4%202022%20-%20v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1.%20QFR%20Q1%202023%20v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1.%20QFR%20Q2%202023%20v9%20(dated)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2023/1.%20QFR%20Q3%202023v11.xlsx" TargetMode="External"/><Relationship Id="rId1" Type="http://schemas.openxmlformats.org/officeDocument/2006/relationships/externalLinkPath" Target="2023/1.%20QFR%20Q3%202023v11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2023/1.%20QFR%20Q4%202023v8.xlsx" TargetMode="External"/><Relationship Id="rId1" Type="http://schemas.openxmlformats.org/officeDocument/2006/relationships/externalLinkPath" Target="2023/1.%20QFR%20Q4%202023v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2019/QFR%20Q3%202019%20final%20-%20tie%20to%20SAS.xlsx" TargetMode="External"/><Relationship Id="rId1" Type="http://schemas.openxmlformats.org/officeDocument/2006/relationships/externalLinkPath" Target="2019/QFR%20Q3%202019%20final%20-%20tie%20to%20SAS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2024/1.%20QFR%20Q1%202024v3.xlsx" TargetMode="External"/><Relationship Id="rId1" Type="http://schemas.openxmlformats.org/officeDocument/2006/relationships/externalLinkPath" Target="2024/1.%20QFR%20Q1%202024v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zzat.aminuddin\UEM%20Sunrise%20Bhd\IR%20Team%20-%20Quarterly%20Analyst%20Briefing\Financial%20summary\2019\QFR%20Q4%202019%20v12%20-%20for%20AFS.xlsx" TargetMode="External"/><Relationship Id="rId1" Type="http://schemas.openxmlformats.org/officeDocument/2006/relationships/externalLinkPath" Target="2019/QFR%20Q4%202019%20v12%20-%20for%20AF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0/QFR%20Q1%202020%20v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0/QFR%20Q2%202020%20v17%20sa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emsgrp.sharepoint.com/sites/IRTeam606/Shared%20Documents/Quarterly%20Analyst%20Briefing/Financial%20summary/2020/QFR%20Q3%202020%20v9.xlsx" TargetMode="External"/><Relationship Id="rId1" Type="http://schemas.openxmlformats.org/officeDocument/2006/relationships/externalLinkPath" Target="2020/QFR%20Q3%202020%20v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20/QFR%20Q4%202020%20v23%20-%20AF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21/QFR%20Q1%202021%20v19%20-%20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21/1.%20QFR%20Q2%202021%20v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"/>
      <sheetName val="II"/>
      <sheetName val="III"/>
      <sheetName val="IV(SOCIE)"/>
      <sheetName val="PL"/>
      <sheetName val="BSLookup"/>
      <sheetName val="BS"/>
      <sheetName val="CFLookup"/>
      <sheetName val="CF"/>
      <sheetName val="OI"/>
      <sheetName val="PL17"/>
      <sheetName val="BS17"/>
      <sheetName val="MFRSs (Haris)"/>
      <sheetName val="V(note 1-8)"/>
      <sheetName val="DebtSecurities"/>
      <sheetName val="V(note 9-14)"/>
      <sheetName val="V(note 15 CP)"/>
      <sheetName val="V(note 16)"/>
      <sheetName val="V(note 17-19)"/>
      <sheetName val="V(note 20-26)"/>
      <sheetName val="CLA"/>
      <sheetName val="UPEN supporting"/>
      <sheetName val="Recon"/>
      <sheetName val="Fx"/>
      <sheetName val="CV"/>
      <sheetName val="CORP PROP"/>
      <sheetName val="Adj"/>
      <sheetName val="Loan1"/>
      <sheetName val="Loan2"/>
      <sheetName val="Notes"/>
      <sheetName val="Notes2"/>
      <sheetName val="Notes3"/>
      <sheetName val="Segmental"/>
      <sheetName val="Analysis"/>
      <sheetName val="sukuk"/>
      <sheetName val="Mega"/>
    </sheetNames>
    <sheetDataSet>
      <sheetData sheetId="0"/>
      <sheetData sheetId="1">
        <row r="21">
          <cell r="C21" t="str">
            <v>Property, plant and equipment</v>
          </cell>
        </row>
      </sheetData>
      <sheetData sheetId="2">
        <row r="19">
          <cell r="C19" t="str">
            <v>Cash receipts from customers</v>
          </cell>
          <cell r="E19">
            <v>1568032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1178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-400642</v>
          </cell>
        </row>
        <row r="25">
          <cell r="C25" t="str">
            <v>Cash payments for land and development related costs</v>
          </cell>
          <cell r="E25">
            <v>-56521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-1627</v>
          </cell>
        </row>
        <row r="29">
          <cell r="C29" t="str">
            <v>Cash payments to employees and for expenses</v>
          </cell>
          <cell r="E29">
            <v>-280241</v>
          </cell>
        </row>
        <row r="30">
          <cell r="C30" t="str">
            <v>Cash generated from/(used in) operations</v>
          </cell>
          <cell r="E30">
            <v>830179</v>
          </cell>
        </row>
        <row r="31">
          <cell r="C31" t="str">
            <v>Net income tax paid</v>
          </cell>
          <cell r="E31">
            <v>-49623</v>
          </cell>
        </row>
        <row r="32">
          <cell r="C32" t="str">
            <v>Interest received</v>
          </cell>
          <cell r="E32">
            <v>8092</v>
          </cell>
        </row>
        <row r="33">
          <cell r="C33" t="str">
            <v>Net cash generated from/(used in) operating activities</v>
          </cell>
          <cell r="E33">
            <v>788648</v>
          </cell>
        </row>
        <row r="36">
          <cell r="C36" t="str">
            <v>Dividend received from a joint venture</v>
          </cell>
          <cell r="E36">
            <v>15000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>Proceeds from disposal of short term investment</v>
          </cell>
          <cell r="E41">
            <v>49867</v>
          </cell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Purchase of property, plant and equipment</v>
          </cell>
          <cell r="E49">
            <v>-19463</v>
          </cell>
        </row>
        <row r="50">
          <cell r="C50" t="str">
            <v>Purchase of investment property</v>
          </cell>
          <cell r="E50">
            <v>0</v>
          </cell>
        </row>
        <row r="51">
          <cell r="C51" t="str">
            <v>Acquisition of subsidiary, net of cash and cash equivalent acquired</v>
          </cell>
          <cell r="E51">
            <v>0</v>
          </cell>
        </row>
        <row r="52">
          <cell r="C52" t="str">
            <v>Advances to joint ventures</v>
          </cell>
          <cell r="E52">
            <v>-3468</v>
          </cell>
        </row>
        <row r="53">
          <cell r="C53" t="str">
            <v>Investment in an associate</v>
          </cell>
          <cell r="E53">
            <v>0</v>
          </cell>
        </row>
        <row r="54">
          <cell r="C54" t="str">
            <v>Acquisition of a subsidiary</v>
          </cell>
          <cell r="E54">
            <v>-205729</v>
          </cell>
        </row>
        <row r="55">
          <cell r="C55" t="str">
            <v>Deposit paid for land acquisition</v>
          </cell>
          <cell r="E55">
            <v>-4500</v>
          </cell>
        </row>
        <row r="56">
          <cell r="C56" t="str">
            <v>Deposit paid for development rights of a land</v>
          </cell>
          <cell r="E56">
            <v>0</v>
          </cell>
        </row>
        <row r="57">
          <cell r="C57" t="str">
            <v>Investment in joint ventures</v>
          </cell>
          <cell r="E57">
            <v>0</v>
          </cell>
        </row>
        <row r="58">
          <cell r="C58" t="str">
            <v>Investment in land held for property development</v>
          </cell>
          <cell r="E58"/>
        </row>
        <row r="59">
          <cell r="C59" t="str">
            <v>Net investment in short term investments</v>
          </cell>
          <cell r="E59">
            <v>0</v>
          </cell>
        </row>
        <row r="60">
          <cell r="C60" t="str">
            <v>Deposit paid for subscription of shares</v>
          </cell>
          <cell r="E60">
            <v>0</v>
          </cell>
        </row>
        <row r="80">
          <cell r="C80" t="str">
            <v>Drawdown of borrowings</v>
          </cell>
          <cell r="E80">
            <v>556384</v>
          </cell>
        </row>
        <row r="81">
          <cell r="C81" t="str">
            <v>Drawdown of Islamic Medium Term Notes</v>
          </cell>
          <cell r="E81">
            <v>300000</v>
          </cell>
        </row>
        <row r="82">
          <cell r="C82" t="str">
            <v xml:space="preserve">Drawdown of  Islamic Medium Term Notes ("IMTN") </v>
          </cell>
          <cell r="E82">
            <v>0</v>
          </cell>
        </row>
        <row r="83">
          <cell r="C83" t="str">
            <v>Subscription of shares by non-controlling shareholder in a subsidiary</v>
          </cell>
          <cell r="E83">
            <v>0</v>
          </cell>
        </row>
        <row r="84">
          <cell r="C84" t="str">
            <v>Repayment from joint ventures</v>
          </cell>
          <cell r="E84">
            <v>0</v>
          </cell>
        </row>
        <row r="85">
          <cell r="C85" t="str">
            <v>Repayment from immediate holding company</v>
          </cell>
          <cell r="E85">
            <v>0</v>
          </cell>
        </row>
        <row r="86">
          <cell r="C86" t="str">
            <v>Advance to joint ventures</v>
          </cell>
          <cell r="E86">
            <v>0</v>
          </cell>
        </row>
        <row r="87">
          <cell r="C87" t="str">
            <v>Advance to a joint venture</v>
          </cell>
          <cell r="E87"/>
        </row>
        <row r="88">
          <cell r="C88" t="str">
            <v>Repayment of borrowings</v>
          </cell>
          <cell r="E88">
            <v>-1270821</v>
          </cell>
        </row>
        <row r="89">
          <cell r="C89" t="str">
            <v>Repayment of Islamic Medium Term Notes</v>
          </cell>
          <cell r="E89">
            <v>-300000</v>
          </cell>
        </row>
        <row r="90">
          <cell r="C90" t="str">
            <v>Repayment to immediate holding company</v>
          </cell>
          <cell r="E90">
            <v>0</v>
          </cell>
        </row>
        <row r="91">
          <cell r="C91" t="str">
            <v>Repayment of lease liabilities</v>
          </cell>
          <cell r="E91">
            <v>-2394</v>
          </cell>
        </row>
        <row r="92">
          <cell r="C92" t="str">
            <v>Dividend paid</v>
          </cell>
          <cell r="E92">
            <v>0</v>
          </cell>
        </row>
        <row r="93">
          <cell r="C93" t="str">
            <v>Interest paid</v>
          </cell>
          <cell r="E93">
            <v>-86225</v>
          </cell>
        </row>
        <row r="94">
          <cell r="C94" t="str">
            <v>Net cash (used in)/generated from financing activities</v>
          </cell>
          <cell r="E94">
            <v>-803056</v>
          </cell>
        </row>
        <row r="97">
          <cell r="B97" t="str">
            <v>Effects of exchange rate changes</v>
          </cell>
          <cell r="E97">
            <v>-1109</v>
          </cell>
        </row>
        <row r="98">
          <cell r="E98"/>
        </row>
        <row r="99">
          <cell r="B99" t="str">
            <v>Net increase / (decrease) in cash and cash equivalents</v>
          </cell>
          <cell r="C99"/>
          <cell r="E99">
            <v>-183810</v>
          </cell>
        </row>
        <row r="100">
          <cell r="B100" t="str">
            <v>Cash and cash equivalents as at beginning of financial period</v>
          </cell>
          <cell r="C100"/>
          <cell r="E100">
            <v>1076943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Luca PL"/>
      <sheetName val="Luca BS"/>
      <sheetName val="BSLookup"/>
      <sheetName val="BS"/>
      <sheetName val="CF"/>
      <sheetName val="I"/>
      <sheetName val="II"/>
      <sheetName val="III"/>
      <sheetName val="IV(SOCIE)"/>
      <sheetName val="V(note 1-9)"/>
      <sheetName val="V(note 10-14)"/>
      <sheetName val="V(note 15 CP)"/>
      <sheetName val="V(note 16)"/>
      <sheetName val="V(note 17-18)"/>
      <sheetName val="V(note 19-22)"/>
      <sheetName val="CF comp"/>
      <sheetName val="GPM"/>
      <sheetName val="GP"/>
      <sheetName val="Segmental"/>
      <sheetName val="Analysis"/>
      <sheetName val="suk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C21" t="str">
            <v>Property, plant and equipment</v>
          </cell>
        </row>
      </sheetData>
      <sheetData sheetId="9">
        <row r="19">
          <cell r="C19" t="str">
            <v>Cash receipts from customers</v>
          </cell>
          <cell r="E19">
            <v>567891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900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-428498</v>
          </cell>
        </row>
        <row r="25">
          <cell r="C25" t="str">
            <v>Cash payments for land and development related costs</v>
          </cell>
          <cell r="E25">
            <v>-67604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-27084</v>
          </cell>
        </row>
        <row r="29">
          <cell r="C29" t="str">
            <v>Cash payments to employees and for expenses</v>
          </cell>
          <cell r="E29">
            <v>-146632</v>
          </cell>
        </row>
        <row r="30">
          <cell r="C30" t="str">
            <v>Cash generated from/(used in) operations</v>
          </cell>
          <cell r="E30">
            <v>-101027</v>
          </cell>
        </row>
        <row r="31">
          <cell r="C31" t="str">
            <v>Net income tax paid</v>
          </cell>
          <cell r="E31">
            <v>-30450</v>
          </cell>
        </row>
        <row r="32">
          <cell r="C32" t="str">
            <v>Interest received</v>
          </cell>
          <cell r="E32">
            <v>1016</v>
          </cell>
        </row>
        <row r="36">
          <cell r="C36" t="str">
            <v>Dividend received from a joint venture</v>
          </cell>
          <cell r="E36">
            <v>71000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5000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Net proceeds from partial disposal of a subsidiary</v>
          </cell>
          <cell r="D50" t="str">
            <v>11(b)</v>
          </cell>
          <cell r="E50">
            <v>148026</v>
          </cell>
        </row>
        <row r="51">
          <cell r="C51" t="str">
            <v>Purchase of property, plant and equipment</v>
          </cell>
          <cell r="E51">
            <v>-8902</v>
          </cell>
        </row>
        <row r="52">
          <cell r="C52" t="str">
            <v>Purchase of investment property</v>
          </cell>
          <cell r="E52">
            <v>-7860</v>
          </cell>
        </row>
        <row r="53">
          <cell r="C53" t="str">
            <v>Advances to an associate</v>
          </cell>
          <cell r="E53">
            <v>-2600</v>
          </cell>
        </row>
        <row r="54">
          <cell r="C54" t="str">
            <v>Advances to joint ventures</v>
          </cell>
          <cell r="E54">
            <v>-1000</v>
          </cell>
        </row>
        <row r="55">
          <cell r="C55" t="str">
            <v>Investment in joint ventures</v>
          </cell>
          <cell r="E55">
            <v>0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E57"/>
        </row>
        <row r="58">
          <cell r="C58" t="str">
            <v>Investment in a joint venture</v>
          </cell>
          <cell r="E58">
            <v>-900</v>
          </cell>
        </row>
        <row r="59">
          <cell r="C59" t="str">
            <v>Investment in land held for property development</v>
          </cell>
          <cell r="E59">
            <v>-198918</v>
          </cell>
        </row>
        <row r="60">
          <cell r="C60" t="str">
            <v>Investment in long term investment</v>
          </cell>
          <cell r="E60">
            <v>0</v>
          </cell>
        </row>
        <row r="61">
          <cell r="C61" t="str">
            <v>Net investment in short term investments</v>
          </cell>
          <cell r="E61">
            <v>-84971</v>
          </cell>
        </row>
        <row r="82">
          <cell r="C82" t="str">
            <v>Drawdown of borrowings</v>
          </cell>
          <cell r="E82">
            <v>79248</v>
          </cell>
        </row>
        <row r="83">
          <cell r="C83" t="str">
            <v>Drawdown of Islamic Medium Term Notes</v>
          </cell>
          <cell r="E83">
            <v>1140000</v>
          </cell>
        </row>
        <row r="84">
          <cell r="C84" t="str">
            <v xml:space="preserve">Drawdown of  Islamic Medium Term Notes ("IMTN") </v>
          </cell>
          <cell r="E84">
            <v>0</v>
          </cell>
        </row>
        <row r="85">
          <cell r="C85" t="str">
            <v>Subscription of shares by non-controlling shareholder in a subsidiary</v>
          </cell>
          <cell r="E85">
            <v>0</v>
          </cell>
        </row>
        <row r="86">
          <cell r="C86" t="str">
            <v>Repayment from joint ventures</v>
          </cell>
          <cell r="E86">
            <v>0</v>
          </cell>
        </row>
        <row r="87">
          <cell r="C87" t="str">
            <v>Repayment from immediate holding company</v>
          </cell>
          <cell r="E87">
            <v>0</v>
          </cell>
        </row>
        <row r="88">
          <cell r="C88" t="str">
            <v>Advance to joint ventures</v>
          </cell>
          <cell r="E88">
            <v>0</v>
          </cell>
        </row>
        <row r="89">
          <cell r="C89" t="str">
            <v>Advance from a corporate shareholder</v>
          </cell>
          <cell r="E89">
            <v>0</v>
          </cell>
        </row>
        <row r="90">
          <cell r="C90" t="str">
            <v>Redemption of Redeemable Convertible Preference Shares ("RCPS")</v>
          </cell>
          <cell r="E90">
            <v>0</v>
          </cell>
        </row>
        <row r="91">
          <cell r="E91"/>
        </row>
        <row r="92">
          <cell r="C92" t="str">
            <v>Repayment of borrowings</v>
          </cell>
          <cell r="E92">
            <v>-651422</v>
          </cell>
        </row>
        <row r="93">
          <cell r="C93" t="str">
            <v>Repayment of Islamic Medium Term Notes</v>
          </cell>
          <cell r="E93">
            <v>-435000</v>
          </cell>
        </row>
        <row r="94">
          <cell r="C94" t="str">
            <v>Repayment of loan from immediate holding company</v>
          </cell>
          <cell r="E94">
            <v>0</v>
          </cell>
        </row>
        <row r="95">
          <cell r="C95" t="str">
            <v>Repayment of lease liabilities</v>
          </cell>
          <cell r="E95">
            <v>-2361</v>
          </cell>
        </row>
        <row r="96">
          <cell r="C96" t="str">
            <v>Dividend paid</v>
          </cell>
          <cell r="E96">
            <v>0</v>
          </cell>
        </row>
        <row r="97">
          <cell r="C97" t="str">
            <v>Interest paid</v>
          </cell>
          <cell r="E97">
            <v>-117281</v>
          </cell>
        </row>
        <row r="101">
          <cell r="B101" t="str">
            <v>Effects of exchange rate changes</v>
          </cell>
          <cell r="E101">
            <v>-14219</v>
          </cell>
        </row>
        <row r="102">
          <cell r="E102"/>
        </row>
        <row r="103">
          <cell r="B103" t="str">
            <v>Net decrease in cash and cash equivalents</v>
          </cell>
          <cell r="C103"/>
          <cell r="E103">
            <v>-212621</v>
          </cell>
        </row>
        <row r="104">
          <cell r="B104" t="str">
            <v>Cash and cash equivalents as at beginning of financial period</v>
          </cell>
          <cell r="C104"/>
          <cell r="E104">
            <v>1080732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Luca PL"/>
      <sheetName val="Luca BS"/>
      <sheetName val="BSLookup"/>
      <sheetName val="BS"/>
      <sheetName val="CF"/>
      <sheetName val="I"/>
      <sheetName val="II"/>
      <sheetName val="III"/>
      <sheetName val="IV(SOCIE)"/>
      <sheetName val="V(note 1-9)"/>
      <sheetName val="V(note 10-14)"/>
      <sheetName val="V(note 15 CP)"/>
      <sheetName val="V(note 16)"/>
      <sheetName val="V(note 17-18)"/>
      <sheetName val="V(note 19-22)"/>
      <sheetName val="Adj"/>
      <sheetName val="CF comp"/>
      <sheetName val="GPM"/>
      <sheetName val="GP"/>
      <sheetName val="Segmental"/>
      <sheetName val="Analysis"/>
      <sheetName val="suk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C21" t="str">
            <v>Property, plant and equipment</v>
          </cell>
        </row>
      </sheetData>
      <sheetData sheetId="9">
        <row r="19">
          <cell r="C19" t="str">
            <v>Cash receipts from customers</v>
          </cell>
          <cell r="E19">
            <v>889257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2557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-544174</v>
          </cell>
        </row>
        <row r="25">
          <cell r="C25" t="str">
            <v>Cash payments for land and development related costs</v>
          </cell>
          <cell r="E25">
            <v>-115448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-35185</v>
          </cell>
        </row>
        <row r="29">
          <cell r="C29" t="str">
            <v>Cash payments to employees and for expenses</v>
          </cell>
          <cell r="E29">
            <v>-217518</v>
          </cell>
        </row>
        <row r="30">
          <cell r="C30" t="str">
            <v>Cash generated from/(used in) operations</v>
          </cell>
          <cell r="E30">
            <v>-20511</v>
          </cell>
        </row>
        <row r="31">
          <cell r="C31" t="str">
            <v>Net income tax paid</v>
          </cell>
          <cell r="E31">
            <v>-37261</v>
          </cell>
        </row>
        <row r="32">
          <cell r="C32" t="str">
            <v>Interest received</v>
          </cell>
          <cell r="E32">
            <v>8259</v>
          </cell>
        </row>
        <row r="36">
          <cell r="C36" t="str">
            <v>Dividend received from a joint venture</v>
          </cell>
          <cell r="E36">
            <v>101000</v>
          </cell>
        </row>
        <row r="37">
          <cell r="C37" t="str">
            <v>Dividend received from associates</v>
          </cell>
          <cell r="E37">
            <v>2400</v>
          </cell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5000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Net proceeds from partial disposal of a subsidiary</v>
          </cell>
          <cell r="D50" t="str">
            <v>11(b)</v>
          </cell>
          <cell r="E50">
            <v>148026</v>
          </cell>
        </row>
        <row r="51">
          <cell r="C51" t="str">
            <v>Purchase of property, plant and equipment</v>
          </cell>
          <cell r="E51">
            <v>-12803</v>
          </cell>
        </row>
        <row r="52">
          <cell r="C52" t="str">
            <v>Purchase of investment property</v>
          </cell>
          <cell r="E52">
            <v>-9310</v>
          </cell>
        </row>
        <row r="53">
          <cell r="C53" t="str">
            <v>Advances to an associate</v>
          </cell>
          <cell r="E53">
            <v>-2600</v>
          </cell>
        </row>
        <row r="54">
          <cell r="C54" t="str">
            <v>Advances to joint ventures</v>
          </cell>
          <cell r="E54">
            <v>-1000</v>
          </cell>
        </row>
        <row r="55">
          <cell r="C55" t="str">
            <v>Investment in joint ventures</v>
          </cell>
          <cell r="E55">
            <v>0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E57"/>
        </row>
        <row r="58">
          <cell r="C58" t="str">
            <v>Investment in a joint venture</v>
          </cell>
          <cell r="E58">
            <v>-900</v>
          </cell>
        </row>
        <row r="59">
          <cell r="C59" t="str">
            <v>Investment in land held for property development</v>
          </cell>
          <cell r="E59">
            <v>-546118</v>
          </cell>
        </row>
        <row r="60">
          <cell r="C60" t="str">
            <v>Investment in long term investment</v>
          </cell>
          <cell r="E60">
            <v>0</v>
          </cell>
        </row>
        <row r="61">
          <cell r="C61" t="str">
            <v>Net investment in short term investments</v>
          </cell>
          <cell r="E61">
            <v>216736</v>
          </cell>
        </row>
        <row r="82">
          <cell r="C82" t="str">
            <v>Drawdown of borrowings</v>
          </cell>
          <cell r="E82">
            <v>484696</v>
          </cell>
        </row>
        <row r="83">
          <cell r="C83" t="str">
            <v>Drawdown of Islamic Medium Term Notes</v>
          </cell>
          <cell r="E83">
            <v>1140000</v>
          </cell>
        </row>
        <row r="84">
          <cell r="C84" t="str">
            <v xml:space="preserve">Drawdown of  Islamic Medium Term Notes ("IMTN") </v>
          </cell>
          <cell r="E84">
            <v>0</v>
          </cell>
        </row>
        <row r="85">
          <cell r="C85" t="str">
            <v>Subscription of shares by non-controlling shareholder in a subsidiary</v>
          </cell>
          <cell r="E85">
            <v>0</v>
          </cell>
        </row>
        <row r="86">
          <cell r="C86" t="str">
            <v>Repayment from joint ventures</v>
          </cell>
          <cell r="E86">
            <v>0</v>
          </cell>
        </row>
        <row r="87">
          <cell r="C87" t="str">
            <v>Repayment from immediate holding company</v>
          </cell>
          <cell r="E87">
            <v>0</v>
          </cell>
        </row>
        <row r="88">
          <cell r="C88" t="str">
            <v>Advance to joint ventures</v>
          </cell>
          <cell r="E88">
            <v>0</v>
          </cell>
        </row>
        <row r="89">
          <cell r="C89" t="str">
            <v>Advance from a corporate shareholder</v>
          </cell>
          <cell r="E89">
            <v>0</v>
          </cell>
        </row>
        <row r="90">
          <cell r="C90" t="str">
            <v>Redemption of Redeemable Convertible Preference Shares ("RCPS")</v>
          </cell>
          <cell r="E90">
            <v>0</v>
          </cell>
        </row>
        <row r="91">
          <cell r="E91"/>
        </row>
        <row r="92">
          <cell r="C92" t="str">
            <v>Repayment of borrowings</v>
          </cell>
          <cell r="E92">
            <v>-721853</v>
          </cell>
        </row>
        <row r="93">
          <cell r="C93" t="str">
            <v>Repayment of Islamic Medium Term Notes</v>
          </cell>
          <cell r="E93">
            <v>-785000</v>
          </cell>
        </row>
        <row r="94">
          <cell r="C94" t="str">
            <v>Repayment of loan from immediate holding company</v>
          </cell>
          <cell r="E94">
            <v>0</v>
          </cell>
        </row>
        <row r="95">
          <cell r="C95" t="str">
            <v>Repayment of lease liabilities</v>
          </cell>
          <cell r="E95">
            <v>-3050</v>
          </cell>
        </row>
        <row r="96">
          <cell r="C96" t="str">
            <v>Dividend paid</v>
          </cell>
          <cell r="E96">
            <v>0</v>
          </cell>
        </row>
        <row r="97">
          <cell r="C97" t="str">
            <v>Interest paid</v>
          </cell>
          <cell r="E97">
            <v>-181765</v>
          </cell>
        </row>
        <row r="101">
          <cell r="B101" t="str">
            <v>Effects of exchange rate changes</v>
          </cell>
          <cell r="E101">
            <v>-16474</v>
          </cell>
        </row>
        <row r="102">
          <cell r="E102"/>
        </row>
        <row r="103">
          <cell r="B103" t="str">
            <v>Net (decrease)/increase in cash and cash equivalents</v>
          </cell>
          <cell r="C103"/>
          <cell r="E103">
            <v>-232528</v>
          </cell>
        </row>
        <row r="104">
          <cell r="B104" t="str">
            <v>Cash and cash equivalents as at beginning of financial period</v>
          </cell>
          <cell r="C104"/>
          <cell r="E104">
            <v>1080732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Luca PL"/>
      <sheetName val="Luca BS"/>
      <sheetName val="BSLookup"/>
      <sheetName val="BS"/>
      <sheetName val="CF"/>
      <sheetName val="I"/>
      <sheetName val="II"/>
      <sheetName val="III"/>
      <sheetName val="IV(SOCIE)"/>
      <sheetName val="V(note 1-9)"/>
      <sheetName val="V(note 10-14)"/>
      <sheetName val="V(note 15 CP)"/>
      <sheetName val="V(note 16)"/>
      <sheetName val="V(note 17-18)"/>
      <sheetName val="V(note 19-22)"/>
      <sheetName val="Adj22"/>
      <sheetName val="Adj"/>
      <sheetName val="CF comp"/>
      <sheetName val="GPM"/>
      <sheetName val="GP"/>
      <sheetName val="Segmental"/>
      <sheetName val="Analysis"/>
      <sheetName val="suk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C21" t="str">
            <v>Property, plant and equipment</v>
          </cell>
        </row>
      </sheetData>
      <sheetData sheetId="9">
        <row r="19">
          <cell r="C19" t="str">
            <v>Cash receipts from customers</v>
          </cell>
          <cell r="E19">
            <v>287866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852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-139773</v>
          </cell>
        </row>
        <row r="25">
          <cell r="C25" t="str">
            <v>Cash payments for land and development related costs</v>
          </cell>
          <cell r="E25">
            <v>-61371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-481</v>
          </cell>
        </row>
        <row r="29">
          <cell r="C29" t="str">
            <v>Cash payments to employees and for expenses</v>
          </cell>
          <cell r="E29">
            <v>-70296</v>
          </cell>
        </row>
        <row r="30">
          <cell r="C30" t="str">
            <v>Cash generated from/(used in) operations</v>
          </cell>
          <cell r="E30">
            <v>16797</v>
          </cell>
        </row>
        <row r="31">
          <cell r="C31" t="str">
            <v>Net income tax paid</v>
          </cell>
          <cell r="E31">
            <v>-336</v>
          </cell>
        </row>
        <row r="32">
          <cell r="C32" t="str">
            <v>Interest received</v>
          </cell>
          <cell r="E32">
            <v>1680</v>
          </cell>
        </row>
        <row r="50">
          <cell r="C50" t="str">
            <v>Net proceeds from disposal of a subsidiary</v>
          </cell>
          <cell r="D50" t="str">
            <v>11(b)</v>
          </cell>
          <cell r="E50">
            <v>356</v>
          </cell>
        </row>
        <row r="51">
          <cell r="C51" t="str">
            <v>Purchase of property, plant and equipment</v>
          </cell>
          <cell r="E51">
            <v>0</v>
          </cell>
        </row>
        <row r="52">
          <cell r="C52" t="str">
            <v>Purchase of investment property</v>
          </cell>
          <cell r="E52">
            <v>-1460</v>
          </cell>
        </row>
        <row r="53">
          <cell r="C53" t="str">
            <v>Advances to an associate</v>
          </cell>
          <cell r="E53">
            <v>0</v>
          </cell>
        </row>
        <row r="54">
          <cell r="C54" t="str">
            <v>Advances to joint ventures</v>
          </cell>
          <cell r="E54">
            <v>-500</v>
          </cell>
        </row>
        <row r="55">
          <cell r="C55" t="str">
            <v>Investment in joint ventures</v>
          </cell>
          <cell r="E55">
            <v>0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E57"/>
        </row>
        <row r="58">
          <cell r="C58" t="str">
            <v>Investment in a joint venture</v>
          </cell>
          <cell r="E58">
            <v>0</v>
          </cell>
        </row>
        <row r="59">
          <cell r="C59" t="str">
            <v>Investment in land held for property development</v>
          </cell>
          <cell r="E59">
            <v>-32000</v>
          </cell>
        </row>
        <row r="60">
          <cell r="C60" t="str">
            <v>Investment in long term investment</v>
          </cell>
          <cell r="E60">
            <v>0</v>
          </cell>
        </row>
        <row r="61">
          <cell r="C61" t="str">
            <v>Net investment in short term investments</v>
          </cell>
          <cell r="E61">
            <v>0</v>
          </cell>
        </row>
        <row r="82">
          <cell r="C82" t="str">
            <v>Drawdown of borrowings</v>
          </cell>
          <cell r="E82">
            <v>148209</v>
          </cell>
        </row>
        <row r="83">
          <cell r="C83" t="str">
            <v xml:space="preserve">Drawdown of Islamic Medium Term Notes </v>
          </cell>
          <cell r="E83"/>
        </row>
        <row r="84">
          <cell r="C84" t="str">
            <v>Drawdown of Islamic Medium Term Notes</v>
          </cell>
          <cell r="E84">
            <v>50000</v>
          </cell>
        </row>
        <row r="85">
          <cell r="C85" t="str">
            <v>Subscription of shares by non-controlling shareholder in a subsidiary</v>
          </cell>
          <cell r="E85">
            <v>0</v>
          </cell>
        </row>
        <row r="86">
          <cell r="C86" t="str">
            <v>Repayment from joint ventures</v>
          </cell>
          <cell r="E86">
            <v>0</v>
          </cell>
        </row>
        <row r="87">
          <cell r="C87" t="str">
            <v>Repayment from immediate holding company</v>
          </cell>
          <cell r="E87">
            <v>0</v>
          </cell>
        </row>
        <row r="88">
          <cell r="C88" t="str">
            <v>Advance to joint ventures</v>
          </cell>
          <cell r="E88">
            <v>0</v>
          </cell>
        </row>
        <row r="89">
          <cell r="C89" t="str">
            <v>Advance from a corporate shareholder</v>
          </cell>
          <cell r="E89">
            <v>0</v>
          </cell>
        </row>
        <row r="90">
          <cell r="C90" t="str">
            <v>Redemption of Redeemable Convertible Preference Shares ("RCPS")</v>
          </cell>
          <cell r="E90">
            <v>0</v>
          </cell>
        </row>
        <row r="91">
          <cell r="E91"/>
        </row>
        <row r="92">
          <cell r="C92" t="str">
            <v>Repayment of borrowings</v>
          </cell>
          <cell r="E92">
            <v>-194182</v>
          </cell>
        </row>
        <row r="93">
          <cell r="C93" t="str">
            <v>Repayment of Islamic Medium Term Notes</v>
          </cell>
          <cell r="E93">
            <v>0</v>
          </cell>
        </row>
        <row r="94">
          <cell r="C94" t="str">
            <v>Repayment of loan from immediate holding company</v>
          </cell>
          <cell r="E94">
            <v>0</v>
          </cell>
        </row>
        <row r="95">
          <cell r="C95" t="str">
            <v>Repayment of lease liabilities</v>
          </cell>
          <cell r="E95">
            <v>-5689</v>
          </cell>
        </row>
        <row r="96">
          <cell r="C96" t="str">
            <v>Dividend paid</v>
          </cell>
          <cell r="E96">
            <v>0</v>
          </cell>
        </row>
        <row r="97">
          <cell r="C97" t="str">
            <v>Interest paid</v>
          </cell>
          <cell r="E97">
            <v>-36541</v>
          </cell>
        </row>
        <row r="101">
          <cell r="B101" t="str">
            <v>Effects of exchange rate changes</v>
          </cell>
          <cell r="E101">
            <v>13145</v>
          </cell>
        </row>
        <row r="102">
          <cell r="E102"/>
        </row>
        <row r="103">
          <cell r="B103" t="str">
            <v>Net decrease in cash and cash equivalents</v>
          </cell>
          <cell r="C103"/>
          <cell r="E103">
            <v>-40521</v>
          </cell>
        </row>
        <row r="104">
          <cell r="B104" t="str">
            <v>Cash and cash equivalents as at beginning of financial period</v>
          </cell>
          <cell r="C104"/>
          <cell r="E104">
            <v>848204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CF"/>
      <sheetName val="Luca PL"/>
      <sheetName val="Luca BS"/>
      <sheetName val="BSLookup"/>
      <sheetName val="BS"/>
      <sheetName val="I"/>
      <sheetName val="II"/>
      <sheetName val="III"/>
      <sheetName val="IV(SOCIE)"/>
      <sheetName val="V(note 1-9)"/>
      <sheetName val="V(note 10-14)"/>
      <sheetName val="V(note 15 CP)"/>
      <sheetName val="V(note 16)"/>
      <sheetName val="V(note 17-18)"/>
      <sheetName val="V(note 19-22)"/>
      <sheetName val="Adj22"/>
      <sheetName val="Adj"/>
      <sheetName val="CF comp"/>
      <sheetName val="GPM"/>
      <sheetName val="GP"/>
      <sheetName val="Segmental"/>
      <sheetName val="Analysis"/>
      <sheetName val="suk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C21" t="str">
            <v>Property, plant and equipment</v>
          </cell>
        </row>
      </sheetData>
      <sheetData sheetId="9">
        <row r="19">
          <cell r="C19" t="str">
            <v>Cash receipts from customers</v>
          </cell>
          <cell r="E19">
            <v>573069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2225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-313615</v>
          </cell>
        </row>
        <row r="25">
          <cell r="C25" t="str">
            <v>Cash payments for land and development related costs</v>
          </cell>
          <cell r="E25">
            <v>-93370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-72</v>
          </cell>
        </row>
        <row r="29">
          <cell r="C29" t="str">
            <v>Cash payments to employees and for expenses</v>
          </cell>
          <cell r="E29">
            <v>-120907</v>
          </cell>
        </row>
        <row r="30">
          <cell r="C30" t="str">
            <v>Cash generated from/(used in) operations</v>
          </cell>
          <cell r="E30">
            <v>47330</v>
          </cell>
        </row>
        <row r="31">
          <cell r="C31" t="str">
            <v>Net income tax paid</v>
          </cell>
          <cell r="E31">
            <v>-8183</v>
          </cell>
        </row>
        <row r="32">
          <cell r="C32" t="str">
            <v>Interest received</v>
          </cell>
          <cell r="E32">
            <v>6890</v>
          </cell>
        </row>
        <row r="36">
          <cell r="C36" t="str">
            <v>Dividend received from a joint venture</v>
          </cell>
          <cell r="E36">
            <v>31000</v>
          </cell>
        </row>
        <row r="37">
          <cell r="C37" t="str">
            <v>Dividend received from joint ventures</v>
          </cell>
          <cell r="E37"/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Net proceeds from disposal of a subsidiary</v>
          </cell>
          <cell r="D50" t="str">
            <v>11(b)</v>
          </cell>
          <cell r="E50">
            <v>356</v>
          </cell>
        </row>
        <row r="51">
          <cell r="C51" t="str">
            <v>Deposit received for partial disposal of subsidiary</v>
          </cell>
          <cell r="D51"/>
          <cell r="E51">
            <v>0</v>
          </cell>
        </row>
        <row r="52">
          <cell r="C52" t="str">
            <v>Purchase of property, plant and equipment</v>
          </cell>
          <cell r="E52">
            <v>-1566</v>
          </cell>
        </row>
        <row r="53">
          <cell r="C53" t="str">
            <v>Purchase of investment property</v>
          </cell>
          <cell r="E53">
            <v>-9095</v>
          </cell>
        </row>
        <row r="54">
          <cell r="C54" t="str">
            <v>Advances to an associate</v>
          </cell>
          <cell r="E54">
            <v>0</v>
          </cell>
        </row>
        <row r="55">
          <cell r="C55" t="str">
            <v>Advances to joint ventures</v>
          </cell>
          <cell r="E55">
            <v>3000</v>
          </cell>
        </row>
        <row r="56">
          <cell r="C56" t="str">
            <v>Investment in joint ventures</v>
          </cell>
          <cell r="E56">
            <v>0</v>
          </cell>
        </row>
        <row r="57">
          <cell r="C57" t="str">
            <v>Business combination</v>
          </cell>
          <cell r="D57"/>
          <cell r="E57">
            <v>0</v>
          </cell>
        </row>
        <row r="58">
          <cell r="C58" t="str">
            <v>Redemption of Redeemable Non-convertible Non-cumulative</v>
          </cell>
          <cell r="D58"/>
          <cell r="E58"/>
        </row>
        <row r="59">
          <cell r="C59" t="str">
            <v>Redemption of Redeemable Non-convertible Non-cumulative Preference Shares from an associate</v>
          </cell>
          <cell r="E59">
            <v>6400</v>
          </cell>
        </row>
        <row r="60">
          <cell r="C60" t="str">
            <v>Investment in a joint venture</v>
          </cell>
          <cell r="E60">
            <v>-900</v>
          </cell>
        </row>
        <row r="61">
          <cell r="C61" t="str">
            <v>Investment in land held for property development</v>
          </cell>
          <cell r="E61">
            <v>-32000</v>
          </cell>
        </row>
        <row r="62">
          <cell r="C62" t="str">
            <v>Investment in long term investment</v>
          </cell>
          <cell r="E62">
            <v>0</v>
          </cell>
        </row>
        <row r="63">
          <cell r="C63" t="str">
            <v>Net redemption in short term investments</v>
          </cell>
          <cell r="E63">
            <v>137</v>
          </cell>
        </row>
        <row r="84">
          <cell r="C84" t="str">
            <v>Drawdown of borrowings</v>
          </cell>
          <cell r="E84">
            <v>543170</v>
          </cell>
        </row>
        <row r="85">
          <cell r="C85" t="str">
            <v xml:space="preserve">Drawdown of Islamic Medium Term Notes </v>
          </cell>
          <cell r="E85"/>
        </row>
        <row r="86">
          <cell r="C86" t="str">
            <v>Drawdown of Islamic Medium Term Notes</v>
          </cell>
          <cell r="E86">
            <v>260000</v>
          </cell>
        </row>
        <row r="87">
          <cell r="C87" t="str">
            <v>Subscription of shares by non-controlling shareholder in a subsidiary</v>
          </cell>
          <cell r="E87">
            <v>0</v>
          </cell>
        </row>
        <row r="88">
          <cell r="C88" t="str">
            <v>Repayment from joint ventures</v>
          </cell>
          <cell r="E88">
            <v>0</v>
          </cell>
        </row>
        <row r="89">
          <cell r="C89" t="str">
            <v>Repayment from immediate holding company</v>
          </cell>
          <cell r="E89">
            <v>0</v>
          </cell>
        </row>
        <row r="90">
          <cell r="C90" t="str">
            <v>Advance to joint ventures</v>
          </cell>
          <cell r="E90">
            <v>0</v>
          </cell>
        </row>
        <row r="91">
          <cell r="C91" t="str">
            <v>Advance from a corporate shareholder</v>
          </cell>
          <cell r="E91">
            <v>0</v>
          </cell>
        </row>
        <row r="92">
          <cell r="C92" t="str">
            <v>Redemption of Redeemable Convertible Preference Shares ("RCPS")</v>
          </cell>
          <cell r="E92">
            <v>0</v>
          </cell>
        </row>
        <row r="93">
          <cell r="E93"/>
        </row>
        <row r="94">
          <cell r="C94" t="str">
            <v>Repayment of borrowings</v>
          </cell>
          <cell r="E94">
            <v>-507862</v>
          </cell>
        </row>
        <row r="95">
          <cell r="C95" t="str">
            <v>Repayment of Islamic Medium Term Notes</v>
          </cell>
          <cell r="E95">
            <v>-150000</v>
          </cell>
        </row>
        <row r="96">
          <cell r="C96" t="str">
            <v>Repayment of loan from immediate holding company</v>
          </cell>
          <cell r="E96">
            <v>0</v>
          </cell>
        </row>
        <row r="97">
          <cell r="C97" t="str">
            <v>Repayment of lease liabilities</v>
          </cell>
          <cell r="E97">
            <v>-15762</v>
          </cell>
        </row>
        <row r="98">
          <cell r="C98" t="str">
            <v>Dividend paid</v>
          </cell>
          <cell r="E98">
            <v>0</v>
          </cell>
        </row>
        <row r="99">
          <cell r="C99" t="str">
            <v>Interest paid</v>
          </cell>
          <cell r="E99">
            <v>-92714</v>
          </cell>
        </row>
        <row r="103">
          <cell r="B103" t="str">
            <v>Effects of exchange rate changes</v>
          </cell>
          <cell r="E103">
            <v>1456</v>
          </cell>
        </row>
        <row r="104">
          <cell r="E104"/>
        </row>
        <row r="105">
          <cell r="B105" t="str">
            <v>Net increase in cash and cash equivalents</v>
          </cell>
          <cell r="C105"/>
          <cell r="E105">
            <v>81657</v>
          </cell>
        </row>
        <row r="106">
          <cell r="B106" t="str">
            <v>Cash and cash equivalents as at beginning of financial period</v>
          </cell>
          <cell r="C106"/>
          <cell r="E106">
            <v>848204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CF"/>
      <sheetName val="Luca PL"/>
      <sheetName val="Luca BS"/>
      <sheetName val="BSLookup"/>
      <sheetName val="BS"/>
      <sheetName val="I"/>
      <sheetName val="II"/>
      <sheetName val="III"/>
      <sheetName val="IV(SOCIE)"/>
      <sheetName val="V(note 1-9)"/>
      <sheetName val="V(note 10-14)"/>
      <sheetName val="V(note 15 CP)"/>
      <sheetName val="V(note 16)"/>
      <sheetName val="V(note 17-18)"/>
      <sheetName val="V(note 19-22)"/>
      <sheetName val="sukuk"/>
      <sheetName val="Adj22"/>
      <sheetName val="Adj"/>
      <sheetName val="CF comp"/>
      <sheetName val="GPM"/>
      <sheetName val="GP"/>
      <sheetName val="Segmental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C19" t="str">
            <v>Cash receipts from customers</v>
          </cell>
          <cell r="E19">
            <v>894205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2783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-456106</v>
          </cell>
        </row>
        <row r="25">
          <cell r="C25" t="str">
            <v>Cash payments for land and development related costs</v>
          </cell>
          <cell r="E25">
            <v>-129702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-397</v>
          </cell>
        </row>
        <row r="29">
          <cell r="C29" t="str">
            <v>Cash payments to employees and for expenses</v>
          </cell>
          <cell r="E29">
            <v>-184764</v>
          </cell>
        </row>
        <row r="30">
          <cell r="C30" t="str">
            <v>Cash generated from/(used in) operations</v>
          </cell>
          <cell r="E30">
            <v>126019</v>
          </cell>
        </row>
        <row r="31">
          <cell r="C31" t="str">
            <v>Net income tax paid</v>
          </cell>
          <cell r="E31">
            <v>-13219</v>
          </cell>
        </row>
        <row r="32">
          <cell r="C32" t="str">
            <v>Interest received</v>
          </cell>
          <cell r="E32">
            <v>10486</v>
          </cell>
        </row>
        <row r="36">
          <cell r="C36" t="str">
            <v>Dividend received from a joint venture</v>
          </cell>
          <cell r="E36">
            <v>31000</v>
          </cell>
        </row>
        <row r="37">
          <cell r="C37" t="str">
            <v>Dividend received from joint ventures</v>
          </cell>
          <cell r="E37"/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Net proceeds from disposal of a subsidiary</v>
          </cell>
          <cell r="D50" t="str">
            <v>11(b)</v>
          </cell>
          <cell r="E50">
            <v>356</v>
          </cell>
        </row>
        <row r="51">
          <cell r="C51" t="str">
            <v>Deposit received for partial disposal of subsidiary</v>
          </cell>
          <cell r="D51"/>
          <cell r="E51">
            <v>0</v>
          </cell>
        </row>
        <row r="52">
          <cell r="C52" t="str">
            <v>Purchase of property, plant and equipment</v>
          </cell>
          <cell r="E52">
            <v>-1634</v>
          </cell>
        </row>
        <row r="53">
          <cell r="C53" t="str">
            <v>Purchase of investment property</v>
          </cell>
          <cell r="E53">
            <v>-9216</v>
          </cell>
        </row>
        <row r="54">
          <cell r="C54" t="str">
            <v>Advances to an associate</v>
          </cell>
          <cell r="E54">
            <v>0</v>
          </cell>
        </row>
        <row r="55">
          <cell r="C55" t="str">
            <v>Advances to joint ventures</v>
          </cell>
          <cell r="E55">
            <v>8698</v>
          </cell>
        </row>
        <row r="56">
          <cell r="C56" t="str">
            <v>Investment in joint ventures</v>
          </cell>
          <cell r="E56">
            <v>0</v>
          </cell>
        </row>
        <row r="57">
          <cell r="C57" t="str">
            <v>Business combination</v>
          </cell>
          <cell r="D57"/>
          <cell r="E57">
            <v>0</v>
          </cell>
        </row>
        <row r="58">
          <cell r="C58" t="str">
            <v>Redemption of Redeemable Non-convertible Non-cumulative</v>
          </cell>
          <cell r="D58"/>
          <cell r="E58"/>
        </row>
        <row r="59">
          <cell r="C59" t="str">
            <v>Redemption of Redeemable Non-convertible Non-cumulative Preference Shares from an associate</v>
          </cell>
          <cell r="E59">
            <v>6400</v>
          </cell>
        </row>
        <row r="60">
          <cell r="C60" t="str">
            <v xml:space="preserve">Redemption of Sukuk </v>
          </cell>
          <cell r="E60"/>
        </row>
        <row r="61">
          <cell r="C61" t="str">
            <v>Investment in a joint venture</v>
          </cell>
          <cell r="E61">
            <v>-900</v>
          </cell>
        </row>
        <row r="62">
          <cell r="C62" t="str">
            <v>Investment in land held for property development</v>
          </cell>
          <cell r="E62">
            <v>-70414</v>
          </cell>
        </row>
        <row r="63">
          <cell r="C63" t="str">
            <v>Investment in long term investment</v>
          </cell>
          <cell r="E63">
            <v>0</v>
          </cell>
        </row>
        <row r="64">
          <cell r="C64" t="str">
            <v>Net redemption in short term investments</v>
          </cell>
          <cell r="E64">
            <v>5138</v>
          </cell>
        </row>
        <row r="85">
          <cell r="C85" t="str">
            <v>Drawdown of borrowings</v>
          </cell>
          <cell r="E85">
            <v>896126</v>
          </cell>
        </row>
        <row r="86">
          <cell r="C86" t="str">
            <v xml:space="preserve">Drawdown of Islamic Medium Term Notes </v>
          </cell>
          <cell r="E86"/>
        </row>
        <row r="87">
          <cell r="C87" t="str">
            <v>Drawdown of Islamic Medium Term Notes</v>
          </cell>
          <cell r="E87">
            <v>555000</v>
          </cell>
        </row>
        <row r="88">
          <cell r="C88" t="str">
            <v>Subscription of shares by non-controlling shareholder in a subsidiary</v>
          </cell>
          <cell r="E88">
            <v>0</v>
          </cell>
        </row>
        <row r="89">
          <cell r="C89" t="str">
            <v>Repayment from joint ventures</v>
          </cell>
          <cell r="E89">
            <v>0</v>
          </cell>
        </row>
        <row r="90">
          <cell r="C90" t="str">
            <v>Repayment from immediate holding company</v>
          </cell>
          <cell r="E90">
            <v>0</v>
          </cell>
        </row>
        <row r="91">
          <cell r="C91" t="str">
            <v>Advance to joint ventures</v>
          </cell>
          <cell r="E91">
            <v>0</v>
          </cell>
        </row>
        <row r="92">
          <cell r="C92" t="str">
            <v>Advance from a corporate shareholder</v>
          </cell>
          <cell r="E92">
            <v>0</v>
          </cell>
        </row>
        <row r="93">
          <cell r="C93" t="str">
            <v>Redemption of Redeemable Convertible Preference Shares ("RCPS")</v>
          </cell>
          <cell r="E93">
            <v>0</v>
          </cell>
        </row>
        <row r="94">
          <cell r="E94"/>
        </row>
        <row r="95">
          <cell r="C95" t="str">
            <v>Repayment of borrowings</v>
          </cell>
          <cell r="E95">
            <v>-1142319</v>
          </cell>
        </row>
        <row r="96">
          <cell r="C96" t="str">
            <v>Repayment of Islamic Medium Term Notes</v>
          </cell>
          <cell r="E96">
            <v>-150000</v>
          </cell>
        </row>
        <row r="97">
          <cell r="C97" t="str">
            <v>Repayment of loan from immediate holding company</v>
          </cell>
          <cell r="E97">
            <v>0</v>
          </cell>
        </row>
        <row r="98">
          <cell r="C98" t="str">
            <v>Repayment of lease liabilities</v>
          </cell>
          <cell r="E98">
            <v>-20997</v>
          </cell>
        </row>
        <row r="99">
          <cell r="C99" t="str">
            <v>Dividend paid</v>
          </cell>
          <cell r="E99">
            <v>0</v>
          </cell>
        </row>
        <row r="100">
          <cell r="C100" t="str">
            <v>Interest paid</v>
          </cell>
          <cell r="E100">
            <v>-132251</v>
          </cell>
        </row>
        <row r="104">
          <cell r="B104" t="str">
            <v>Effects of exchange rate changes</v>
          </cell>
          <cell r="E104">
            <v>-837</v>
          </cell>
        </row>
        <row r="105">
          <cell r="E105"/>
        </row>
        <row r="106">
          <cell r="B106" t="str">
            <v>Net increase in cash and cash equivalents</v>
          </cell>
          <cell r="C106"/>
          <cell r="E106">
            <v>97436</v>
          </cell>
        </row>
        <row r="107">
          <cell r="B107" t="str">
            <v>Cash and cash equivalents as at beginning of financial period</v>
          </cell>
          <cell r="C107"/>
          <cell r="E107">
            <v>848204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CF"/>
      <sheetName val="Luca PL"/>
      <sheetName val="Luca BS"/>
      <sheetName val="BSLookup"/>
      <sheetName val="BS"/>
      <sheetName val="I"/>
      <sheetName val="II"/>
      <sheetName val="III"/>
      <sheetName val="IV(SOCIE)"/>
      <sheetName val="V(note 1-9)"/>
      <sheetName val="sukuk"/>
      <sheetName val="V(note 10-14)"/>
      <sheetName val="V(note 15 CP)"/>
      <sheetName val="V(note 16)"/>
      <sheetName val="V(note 17-18)"/>
      <sheetName val="V(note 19-22)"/>
      <sheetName val="Segmental"/>
      <sheetName val="Analysis"/>
      <sheetName val="Adj22"/>
      <sheetName val="Adj"/>
      <sheetName val="CF comp"/>
      <sheetName val="GPM"/>
      <sheetName val="G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C19" t="str">
            <v>Cash receipts from customers</v>
          </cell>
          <cell r="E19">
            <v>1387414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10765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-637338</v>
          </cell>
        </row>
        <row r="25">
          <cell r="C25" t="str">
            <v>Cash payments for land and development related costs</v>
          </cell>
          <cell r="E25">
            <v>-135744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-545</v>
          </cell>
        </row>
        <row r="29">
          <cell r="C29" t="str">
            <v>Cash payments to employees and for expenses</v>
          </cell>
          <cell r="E29">
            <v>-243612</v>
          </cell>
        </row>
        <row r="30">
          <cell r="C30" t="str">
            <v>Cash generated from/(used in) operations</v>
          </cell>
          <cell r="E30">
            <v>380940</v>
          </cell>
        </row>
        <row r="31">
          <cell r="C31" t="str">
            <v>Net income tax paid</v>
          </cell>
          <cell r="E31">
            <v>-27437</v>
          </cell>
        </row>
        <row r="32">
          <cell r="C32" t="str">
            <v>Interest received</v>
          </cell>
          <cell r="E32">
            <v>19430</v>
          </cell>
        </row>
        <row r="36">
          <cell r="C36" t="str">
            <v>Dividend received from a joint venture</v>
          </cell>
          <cell r="E36">
            <v>31000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 property, plant and equipment</v>
          </cell>
          <cell r="E38">
            <v>0</v>
          </cell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Net proceeds from disposal of a subsidiary</v>
          </cell>
          <cell r="D50" t="str">
            <v>11(b)</v>
          </cell>
          <cell r="E50">
            <v>356</v>
          </cell>
        </row>
        <row r="51">
          <cell r="C51" t="str">
            <v>Deposit received for partial disposal of subsidiary</v>
          </cell>
          <cell r="D51"/>
          <cell r="E51">
            <v>0</v>
          </cell>
        </row>
        <row r="52">
          <cell r="C52" t="str">
            <v>Purchase of property, plant and equipment</v>
          </cell>
          <cell r="E52">
            <v>-1861</v>
          </cell>
        </row>
        <row r="53">
          <cell r="C53" t="str">
            <v>Purchase of investment property</v>
          </cell>
          <cell r="E53">
            <v>-22214</v>
          </cell>
        </row>
        <row r="54">
          <cell r="C54" t="str">
            <v>Advances to an associate</v>
          </cell>
          <cell r="E54">
            <v>0</v>
          </cell>
        </row>
        <row r="55">
          <cell r="C55" t="str">
            <v>Advances to joint ventures</v>
          </cell>
          <cell r="E55">
            <v>8698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C57" t="str">
            <v>Redemption of Redeemable Non-convertible Non-cumulative</v>
          </cell>
          <cell r="D57"/>
          <cell r="E57"/>
        </row>
        <row r="58">
          <cell r="C58" t="str">
            <v>Redemption of Redeemable Non-convertible Non-cumulative Preference Shares from an associate</v>
          </cell>
          <cell r="E58">
            <v>6400</v>
          </cell>
        </row>
        <row r="59">
          <cell r="C59" t="str">
            <v xml:space="preserve">Redemption of Sukuk </v>
          </cell>
          <cell r="E59"/>
        </row>
        <row r="60">
          <cell r="C60" t="str">
            <v>Investment in a joint venture</v>
          </cell>
          <cell r="E60">
            <v>-900</v>
          </cell>
        </row>
        <row r="61">
          <cell r="C61" t="str">
            <v>Investment in land held for property development</v>
          </cell>
          <cell r="E61">
            <v>-80892</v>
          </cell>
        </row>
        <row r="62">
          <cell r="C62" t="str">
            <v>Investment in long term investment</v>
          </cell>
          <cell r="E62">
            <v>0</v>
          </cell>
        </row>
        <row r="63">
          <cell r="C63" t="str">
            <v>Net redemption in short term investments</v>
          </cell>
          <cell r="E63">
            <v>-40000</v>
          </cell>
        </row>
        <row r="84">
          <cell r="C84" t="str">
            <v>Drawdown of borrowings</v>
          </cell>
          <cell r="E84">
            <v>1502019</v>
          </cell>
        </row>
        <row r="85">
          <cell r="C85" t="str">
            <v xml:space="preserve">Drawdown of Islamic Medium Term Notes </v>
          </cell>
          <cell r="E85"/>
        </row>
        <row r="86">
          <cell r="C86" t="str">
            <v>Drawdown of Islamic Medium Term Notes</v>
          </cell>
          <cell r="E86">
            <v>675000</v>
          </cell>
        </row>
        <row r="87">
          <cell r="C87" t="str">
            <v>Subscription of shares by non-controlling shareholder in a subsidiary</v>
          </cell>
          <cell r="E87">
            <v>0</v>
          </cell>
        </row>
        <row r="88">
          <cell r="C88" t="str">
            <v>Repayment from joint ventures</v>
          </cell>
          <cell r="E88">
            <v>0</v>
          </cell>
        </row>
        <row r="89">
          <cell r="C89" t="str">
            <v>Repayment from immediate holding company</v>
          </cell>
          <cell r="E89">
            <v>0</v>
          </cell>
        </row>
        <row r="90">
          <cell r="C90" t="str">
            <v>Advance to joint ventures</v>
          </cell>
          <cell r="E90">
            <v>0</v>
          </cell>
        </row>
        <row r="91">
          <cell r="C91" t="str">
            <v>Advance from a corporate shareholder</v>
          </cell>
          <cell r="E91">
            <v>0</v>
          </cell>
        </row>
        <row r="92">
          <cell r="C92" t="str">
            <v>Redemption of Redeemable Convertible Preference Shares ("RCPS")</v>
          </cell>
          <cell r="E92">
            <v>0</v>
          </cell>
        </row>
        <row r="93">
          <cell r="E93"/>
        </row>
        <row r="94">
          <cell r="C94" t="str">
            <v>Repayment of borrowings</v>
          </cell>
          <cell r="E94">
            <v>-1609972</v>
          </cell>
        </row>
        <row r="95">
          <cell r="C95" t="str">
            <v>Repayment of Islamic Medium Term Notes</v>
          </cell>
          <cell r="E95">
            <v>-460000</v>
          </cell>
        </row>
        <row r="96">
          <cell r="C96" t="str">
            <v>Repayment of loan from immediate holding company</v>
          </cell>
          <cell r="E96">
            <v>0</v>
          </cell>
        </row>
        <row r="97">
          <cell r="C97" t="str">
            <v>Repayment of lease liabilities</v>
          </cell>
          <cell r="E97">
            <v>-22262</v>
          </cell>
        </row>
        <row r="98">
          <cell r="C98" t="str">
            <v>Dividend paid</v>
          </cell>
          <cell r="E98">
            <v>0</v>
          </cell>
        </row>
        <row r="99">
          <cell r="C99" t="str">
            <v>Interest paid</v>
          </cell>
          <cell r="E99">
            <v>-185940</v>
          </cell>
        </row>
        <row r="103">
          <cell r="B103" t="str">
            <v>Effects of exchange rate changes</v>
          </cell>
          <cell r="E103">
            <v>-5098</v>
          </cell>
        </row>
        <row r="104">
          <cell r="E104"/>
        </row>
        <row r="105">
          <cell r="B105" t="str">
            <v>Net increase in cash and cash equivalents</v>
          </cell>
          <cell r="C105"/>
          <cell r="E105">
            <v>167267</v>
          </cell>
        </row>
        <row r="106">
          <cell r="B106" t="str">
            <v>Cash and cash equivalents as at beginning of financial period</v>
          </cell>
          <cell r="C106"/>
          <cell r="E106">
            <v>848204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CF"/>
      <sheetName val="Luca PL"/>
      <sheetName val="Luca BS"/>
      <sheetName val="BSLookup"/>
      <sheetName val="BS"/>
      <sheetName val="I"/>
      <sheetName val="II"/>
      <sheetName val="III"/>
      <sheetName val="IV(SOCIE)"/>
      <sheetName val="V(note 1-8)"/>
      <sheetName val="sukuk"/>
      <sheetName val="V(note 9-14)"/>
      <sheetName val="Segmental"/>
      <sheetName val="V(note 15 CP)"/>
      <sheetName val="V(note 16)"/>
      <sheetName val="V(note 17-18)"/>
      <sheetName val="V(note 19-22)"/>
      <sheetName val="Analysis"/>
      <sheetName val="Adj22"/>
      <sheetName val="Adj"/>
      <sheetName val="CF comp"/>
      <sheetName val="GPM"/>
      <sheetName val="G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C21" t="str">
            <v>Property, plant and equipment</v>
          </cell>
        </row>
      </sheetData>
      <sheetData sheetId="9">
        <row r="19">
          <cell r="C19" t="str">
            <v>Cash receipts from customers</v>
          </cell>
          <cell r="E19">
            <v>425369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4033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-165046</v>
          </cell>
        </row>
        <row r="25">
          <cell r="C25" t="str">
            <v>Cash payments for land and development related costs</v>
          </cell>
          <cell r="E25">
            <v>-2833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-2316</v>
          </cell>
        </row>
        <row r="29">
          <cell r="C29" t="str">
            <v>Cash payments to employees and for expenses</v>
          </cell>
          <cell r="E29">
            <v>-42976</v>
          </cell>
        </row>
        <row r="30">
          <cell r="C30" t="str">
            <v>Cash generated from/(used in) operations</v>
          </cell>
          <cell r="E30">
            <v>216231</v>
          </cell>
        </row>
        <row r="31">
          <cell r="C31" t="str">
            <v>Net income tax paid</v>
          </cell>
          <cell r="E31">
            <v>-16507</v>
          </cell>
        </row>
        <row r="32">
          <cell r="C32" t="str">
            <v>Interest received</v>
          </cell>
          <cell r="E32">
            <v>1849</v>
          </cell>
        </row>
        <row r="50">
          <cell r="C50" t="str">
            <v>Net proceeds from disposal of subsidiaries</v>
          </cell>
          <cell r="D50"/>
          <cell r="E50">
            <v>0</v>
          </cell>
        </row>
        <row r="51">
          <cell r="C51" t="str">
            <v>Deposit received for partial disposal of subsidiary</v>
          </cell>
          <cell r="D51"/>
          <cell r="E51">
            <v>0</v>
          </cell>
        </row>
        <row r="52">
          <cell r="C52" t="str">
            <v>Purchase of property, plant and equipment</v>
          </cell>
          <cell r="E52">
            <v>0</v>
          </cell>
        </row>
        <row r="53">
          <cell r="C53" t="str">
            <v>Purchase of investment properties</v>
          </cell>
          <cell r="E53">
            <v>0</v>
          </cell>
        </row>
        <row r="54">
          <cell r="C54" t="str">
            <v>Advances to an associate</v>
          </cell>
          <cell r="E54">
            <v>0</v>
          </cell>
        </row>
        <row r="55">
          <cell r="C55" t="str">
            <v>Advances to joint ventures</v>
          </cell>
          <cell r="E55">
            <v>0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C57" t="str">
            <v>Redemption of Redeemable Non-convertible Non-cumulative</v>
          </cell>
          <cell r="D57"/>
          <cell r="E57"/>
        </row>
        <row r="58">
          <cell r="C58" t="str">
            <v xml:space="preserve">   Preference Shares from an associate</v>
          </cell>
          <cell r="E58">
            <v>0</v>
          </cell>
        </row>
        <row r="59">
          <cell r="C59" t="str">
            <v xml:space="preserve">Redemption of Sukuk </v>
          </cell>
          <cell r="E59"/>
        </row>
        <row r="60">
          <cell r="C60" t="str">
            <v>Investment in a joint venture</v>
          </cell>
          <cell r="E60">
            <v>0</v>
          </cell>
        </row>
        <row r="61">
          <cell r="C61" t="str">
            <v>Investment in land held for property development</v>
          </cell>
          <cell r="E61">
            <v>-39596</v>
          </cell>
        </row>
        <row r="62">
          <cell r="C62" t="str">
            <v>Investment in long term investment</v>
          </cell>
          <cell r="E62">
            <v>0</v>
          </cell>
        </row>
        <row r="63">
          <cell r="C63" t="str">
            <v>Net redemption in short term investments</v>
          </cell>
          <cell r="E63">
            <v>-112000</v>
          </cell>
        </row>
        <row r="84">
          <cell r="C84" t="str">
            <v>Drawdown of borrowings</v>
          </cell>
          <cell r="E84">
            <v>120961</v>
          </cell>
        </row>
        <row r="85">
          <cell r="C85" t="str">
            <v xml:space="preserve">Drawdown of Islamic Medium Term Notes </v>
          </cell>
          <cell r="E85"/>
        </row>
        <row r="86">
          <cell r="C86" t="str">
            <v>Redemption of Redeemable Convertible Preference Shares ("RCPS")</v>
          </cell>
          <cell r="E86">
            <v>420000</v>
          </cell>
        </row>
        <row r="87">
          <cell r="C87" t="str">
            <v>Subscription of shares by non-controlling shareholder in a subsidiary</v>
          </cell>
          <cell r="E87">
            <v>0</v>
          </cell>
        </row>
        <row r="88">
          <cell r="C88" t="str">
            <v>Repayment from joint ventures</v>
          </cell>
          <cell r="E88">
            <v>0</v>
          </cell>
        </row>
        <row r="89">
          <cell r="C89" t="str">
            <v>Repayment from immediate holding company</v>
          </cell>
          <cell r="E89">
            <v>0</v>
          </cell>
        </row>
        <row r="90">
          <cell r="C90" t="str">
            <v>Advance to joint ventures</v>
          </cell>
          <cell r="E90">
            <v>0</v>
          </cell>
        </row>
        <row r="91">
          <cell r="C91" t="str">
            <v>Advance from a corporate shareholder</v>
          </cell>
          <cell r="E91">
            <v>0</v>
          </cell>
        </row>
        <row r="92">
          <cell r="C92" t="str">
            <v>Redemption of Redeemable Convertible Preference Shares ("RCPS")</v>
          </cell>
          <cell r="E92">
            <v>0</v>
          </cell>
        </row>
        <row r="93">
          <cell r="E93"/>
        </row>
        <row r="94">
          <cell r="C94" t="str">
            <v>Repayment of borrowings</v>
          </cell>
          <cell r="E94">
            <v>-461033</v>
          </cell>
        </row>
        <row r="95">
          <cell r="C95" t="str">
            <v>Repayment of Islamic Medium Term Notes</v>
          </cell>
          <cell r="E95">
            <v>0</v>
          </cell>
        </row>
        <row r="96">
          <cell r="C96" t="str">
            <v>Repayment of loan from immediate holding company</v>
          </cell>
          <cell r="E96">
            <v>0</v>
          </cell>
        </row>
        <row r="97">
          <cell r="C97" t="str">
            <v>Repayment of lease liabilities</v>
          </cell>
          <cell r="E97">
            <v>-1235</v>
          </cell>
        </row>
        <row r="98">
          <cell r="C98" t="str">
            <v>Dividend paid</v>
          </cell>
          <cell r="E98">
            <v>0</v>
          </cell>
        </row>
        <row r="99">
          <cell r="C99" t="str">
            <v>Interest paid</v>
          </cell>
          <cell r="E99">
            <v>-48230</v>
          </cell>
        </row>
        <row r="103">
          <cell r="B103" t="str">
            <v>Effects of exchange rate changes</v>
          </cell>
          <cell r="E103">
            <v>-5993</v>
          </cell>
        </row>
        <row r="104">
          <cell r="E104"/>
        </row>
        <row r="105">
          <cell r="B105" t="str">
            <v>Net increase/(decrease) in cash and cash equivalents</v>
          </cell>
          <cell r="C105"/>
          <cell r="E105">
            <v>74447</v>
          </cell>
        </row>
        <row r="106">
          <cell r="B106" t="str">
            <v>Cash and cash equivalents as at beginning of financial period</v>
          </cell>
          <cell r="C106"/>
          <cell r="E106">
            <v>995768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Luca PL"/>
      <sheetName val="CF"/>
      <sheetName val="Luca BS"/>
      <sheetName val="BS"/>
      <sheetName val="BSLookup"/>
      <sheetName val="sukuk"/>
      <sheetName val="I"/>
      <sheetName val="II"/>
      <sheetName val="III"/>
      <sheetName val="IV(SOCIE)"/>
      <sheetName val="V(note 1-8)"/>
      <sheetName val="V(note 9-14)"/>
      <sheetName val="Segmental"/>
      <sheetName val="V(note 15 CP)"/>
      <sheetName val="V(note 16)"/>
      <sheetName val="V(note 17-18)"/>
      <sheetName val="V(note 19-22)"/>
      <sheetName val="Analysis"/>
      <sheetName val="Adj22"/>
      <sheetName val="Adj"/>
      <sheetName val="CF comp"/>
      <sheetName val="GPM"/>
      <sheetName val="G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C21" t="str">
            <v>Property, plant and equipment</v>
          </cell>
        </row>
      </sheetData>
      <sheetData sheetId="10">
        <row r="19">
          <cell r="C19" t="str">
            <v>Cash receipts from customers</v>
          </cell>
          <cell r="E19">
            <v>818365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4510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-379840</v>
          </cell>
        </row>
        <row r="25">
          <cell r="C25" t="str">
            <v>Cash payments for land and development related costs</v>
          </cell>
          <cell r="E25">
            <v>-8608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-3333</v>
          </cell>
        </row>
        <row r="29">
          <cell r="C29" t="str">
            <v>Cash payments to employees and for expenses</v>
          </cell>
          <cell r="E29">
            <v>-119232</v>
          </cell>
        </row>
        <row r="30">
          <cell r="C30" t="str">
            <v>Cash generated from/(used in) operations</v>
          </cell>
          <cell r="E30">
            <v>311862</v>
          </cell>
        </row>
        <row r="31">
          <cell r="C31" t="str">
            <v>Net income tax paid</v>
          </cell>
          <cell r="E31">
            <v>-26827</v>
          </cell>
        </row>
        <row r="32">
          <cell r="C32" t="str">
            <v>Interest received</v>
          </cell>
          <cell r="E32">
            <v>9660</v>
          </cell>
        </row>
        <row r="36">
          <cell r="C36" t="str">
            <v>Dividend received from a joint venture</v>
          </cell>
          <cell r="E36">
            <v>1000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 property, plant and equipment</v>
          </cell>
          <cell r="E38">
            <v>0</v>
          </cell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Net proceeds from disposal of subsidiaries</v>
          </cell>
          <cell r="D50"/>
          <cell r="E50">
            <v>0</v>
          </cell>
        </row>
        <row r="51">
          <cell r="C51" t="str">
            <v>Deposit received for partial disposal of subsidiary</v>
          </cell>
          <cell r="D51"/>
          <cell r="E51">
            <v>0</v>
          </cell>
        </row>
        <row r="52">
          <cell r="C52" t="str">
            <v>Purchase of property, plant and equipment</v>
          </cell>
          <cell r="E52">
            <v>-1</v>
          </cell>
        </row>
        <row r="53">
          <cell r="C53" t="str">
            <v>Purchase of investment property</v>
          </cell>
          <cell r="E53">
            <v>-1951</v>
          </cell>
        </row>
        <row r="54">
          <cell r="C54" t="str">
            <v>Advances to an associate</v>
          </cell>
          <cell r="E54">
            <v>0</v>
          </cell>
        </row>
        <row r="55">
          <cell r="C55" t="str">
            <v>Advances to joint ventures</v>
          </cell>
          <cell r="E55">
            <v>5425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C57" t="str">
            <v>Redemption of Redeemable Non-convertible Non-cumulative</v>
          </cell>
          <cell r="D57"/>
          <cell r="E57"/>
        </row>
        <row r="58">
          <cell r="C58" t="str">
            <v xml:space="preserve">   Preference Shares from an associate</v>
          </cell>
          <cell r="E58">
            <v>0</v>
          </cell>
        </row>
        <row r="59">
          <cell r="C59" t="str">
            <v xml:space="preserve">Redemption of Sukuk </v>
          </cell>
          <cell r="E59"/>
        </row>
        <row r="60">
          <cell r="C60" t="str">
            <v>Investment in a joint venture</v>
          </cell>
          <cell r="E60">
            <v>0</v>
          </cell>
        </row>
        <row r="61">
          <cell r="C61" t="str">
            <v>Investment in land held for property development</v>
          </cell>
          <cell r="E61">
            <v>-55096</v>
          </cell>
        </row>
        <row r="62">
          <cell r="C62" t="str">
            <v>Investment in long term investment</v>
          </cell>
          <cell r="E62">
            <v>0</v>
          </cell>
        </row>
        <row r="63">
          <cell r="C63" t="str">
            <v>Net redemption in short term investments</v>
          </cell>
          <cell r="E63">
            <v>71830</v>
          </cell>
        </row>
        <row r="84">
          <cell r="C84" t="str">
            <v>Drawdown of borrowings</v>
          </cell>
          <cell r="E84">
            <v>522077</v>
          </cell>
        </row>
        <row r="85">
          <cell r="C85" t="str">
            <v xml:space="preserve">Drawdown of Islamic Medium Term Notes </v>
          </cell>
          <cell r="E85"/>
        </row>
        <row r="86">
          <cell r="C86" t="str">
            <v>Drawdown of Islamic Medium Term Notes</v>
          </cell>
          <cell r="E86">
            <v>1345000</v>
          </cell>
        </row>
        <row r="87">
          <cell r="C87" t="str">
            <v>Subscription of shares by non-controlling shareholder in a subsidiary</v>
          </cell>
          <cell r="E87">
            <v>0</v>
          </cell>
        </row>
        <row r="88">
          <cell r="C88" t="str">
            <v>Repayment from joint ventures</v>
          </cell>
          <cell r="E88">
            <v>0</v>
          </cell>
        </row>
        <row r="89">
          <cell r="C89" t="str">
            <v>Repayment from immediate holding company</v>
          </cell>
          <cell r="E89">
            <v>0</v>
          </cell>
        </row>
        <row r="90">
          <cell r="C90" t="str">
            <v>Advance to joint ventures</v>
          </cell>
          <cell r="E90">
            <v>0</v>
          </cell>
        </row>
        <row r="91">
          <cell r="C91" t="str">
            <v>Advance from a corporate shareholder</v>
          </cell>
          <cell r="E91">
            <v>0</v>
          </cell>
        </row>
        <row r="92">
          <cell r="C92" t="str">
            <v>Redemption of Redeemable Convertible Preference Shares ("RCPS")</v>
          </cell>
          <cell r="E92">
            <v>0</v>
          </cell>
        </row>
        <row r="93">
          <cell r="E93"/>
        </row>
        <row r="94">
          <cell r="C94" t="str">
            <v>Repayment of borrowings</v>
          </cell>
          <cell r="E94">
            <v>-1518230</v>
          </cell>
        </row>
        <row r="95">
          <cell r="C95" t="str">
            <v>Repayment of Islamic Medium Term Notes</v>
          </cell>
          <cell r="E95">
            <v>0</v>
          </cell>
        </row>
        <row r="96">
          <cell r="C96" t="str">
            <v>Repayment of loan from immediate holding company</v>
          </cell>
          <cell r="E96">
            <v>0</v>
          </cell>
        </row>
        <row r="97">
          <cell r="C97" t="str">
            <v>Repayment of lease liabilities</v>
          </cell>
          <cell r="E97">
            <v>-1855</v>
          </cell>
        </row>
        <row r="98">
          <cell r="C98" t="str">
            <v>Dividend paid</v>
          </cell>
          <cell r="E98">
            <v>-25392</v>
          </cell>
        </row>
        <row r="99">
          <cell r="C99" t="str">
            <v>Interest paid</v>
          </cell>
          <cell r="E99">
            <v>-107328</v>
          </cell>
        </row>
        <row r="103">
          <cell r="B103" t="str">
            <v>Effects of exchange rate changes</v>
          </cell>
          <cell r="E103">
            <v>14586</v>
          </cell>
        </row>
        <row r="104">
          <cell r="E104"/>
        </row>
        <row r="105">
          <cell r="B105" t="str">
            <v>Net increase in cash and cash equivalents</v>
          </cell>
          <cell r="C105"/>
          <cell r="E105">
            <v>544760</v>
          </cell>
        </row>
        <row r="106">
          <cell r="B106" t="str">
            <v>Cash and cash equivalents as at beginning of financial period</v>
          </cell>
          <cell r="C106"/>
          <cell r="E106">
            <v>995768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"/>
      <sheetName val="Luca PL"/>
      <sheetName val="Luca BS"/>
      <sheetName val="CFLookup"/>
      <sheetName val="BS"/>
      <sheetName val="CF"/>
      <sheetName val="BSLookup"/>
      <sheetName val="sukuk"/>
      <sheetName val="I"/>
      <sheetName val="II"/>
      <sheetName val="III"/>
      <sheetName val="IV(SOCIE)"/>
      <sheetName val="V(note 1-8)"/>
      <sheetName val="V(note 9-13)"/>
      <sheetName val="V(note 14-15 CP)"/>
      <sheetName val="V(note 16)"/>
      <sheetName val="V(note 17-18)"/>
      <sheetName val="V(note 19-22)"/>
      <sheetName val="Segmental"/>
      <sheetName val="Analysis"/>
      <sheetName val="Adj22"/>
      <sheetName val="Adj"/>
      <sheetName val="CF comp"/>
      <sheetName val="GPM"/>
      <sheetName val="G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C21" t="str">
            <v>Property, plant and equipment</v>
          </cell>
        </row>
      </sheetData>
      <sheetData sheetId="10">
        <row r="19">
          <cell r="C19" t="str">
            <v>Cash receipts from customers</v>
          </cell>
          <cell r="E19">
            <v>1083079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48558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-610509</v>
          </cell>
        </row>
        <row r="25">
          <cell r="C25" t="str">
            <v>Cash payments for land and development related costs</v>
          </cell>
          <cell r="E25">
            <v>-8809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-4925</v>
          </cell>
        </row>
        <row r="29">
          <cell r="C29" t="str">
            <v>Cash payments to employees and for expenses</v>
          </cell>
          <cell r="E29">
            <v>-176014</v>
          </cell>
        </row>
        <row r="30">
          <cell r="C30" t="str">
            <v>Cash generated from/(used in) operations</v>
          </cell>
          <cell r="E30">
            <v>331380</v>
          </cell>
        </row>
        <row r="31">
          <cell r="C31" t="str">
            <v>Net income tax paid</v>
          </cell>
          <cell r="E31">
            <v>-33894</v>
          </cell>
        </row>
        <row r="32">
          <cell r="C32" t="str">
            <v>Interest received</v>
          </cell>
          <cell r="E32">
            <v>11601</v>
          </cell>
        </row>
        <row r="36">
          <cell r="C36" t="str">
            <v>Dividend received from a joint venture</v>
          </cell>
          <cell r="E36">
            <v>36000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 property, plant and equipment</v>
          </cell>
          <cell r="E38">
            <v>0</v>
          </cell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Net proceeds from disposal of subsidiary</v>
          </cell>
          <cell r="D50"/>
          <cell r="E50">
            <v>0</v>
          </cell>
        </row>
        <row r="51">
          <cell r="C51" t="str">
            <v>Deposit received for partial disposal of subsidiary</v>
          </cell>
          <cell r="D51"/>
          <cell r="E51">
            <v>0</v>
          </cell>
        </row>
        <row r="52">
          <cell r="C52" t="str">
            <v>Purchase of property, plant and equipment</v>
          </cell>
          <cell r="E52">
            <v>-66</v>
          </cell>
        </row>
        <row r="53">
          <cell r="C53" t="str">
            <v>Purchase of investment property</v>
          </cell>
          <cell r="E53">
            <v>-9551</v>
          </cell>
        </row>
        <row r="54">
          <cell r="C54" t="str">
            <v>Advances to an associate</v>
          </cell>
          <cell r="E54">
            <v>0</v>
          </cell>
        </row>
        <row r="55">
          <cell r="C55" t="str">
            <v>Advances to joint ventures</v>
          </cell>
          <cell r="E55">
            <v>5425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C57" t="str">
            <v>Redemption of Redeemable Non-convertible Non-cumulative</v>
          </cell>
          <cell r="D57"/>
          <cell r="E57"/>
        </row>
        <row r="58">
          <cell r="C58" t="str">
            <v xml:space="preserve">   Preference Shares from an associate</v>
          </cell>
          <cell r="E58">
            <v>0</v>
          </cell>
        </row>
        <row r="59">
          <cell r="C59" t="str">
            <v xml:space="preserve">Redemption of Sukuk </v>
          </cell>
          <cell r="E59"/>
        </row>
        <row r="60">
          <cell r="C60" t="str">
            <v>Investment in a joint venture</v>
          </cell>
          <cell r="E60">
            <v>0</v>
          </cell>
        </row>
        <row r="61">
          <cell r="C61" t="str">
            <v>Investment in land held for property development</v>
          </cell>
          <cell r="E61">
            <v>-23534</v>
          </cell>
        </row>
        <row r="62">
          <cell r="C62" t="str">
            <v>Investment in long term investment</v>
          </cell>
          <cell r="E62">
            <v>0</v>
          </cell>
        </row>
        <row r="63">
          <cell r="C63" t="str">
            <v>Net redemption in short term investments</v>
          </cell>
          <cell r="E63">
            <v>73373</v>
          </cell>
        </row>
        <row r="84">
          <cell r="C84" t="str">
            <v>Drawdown of borrowings</v>
          </cell>
          <cell r="E84">
            <v>861537</v>
          </cell>
        </row>
        <row r="85">
          <cell r="C85" t="str">
            <v xml:space="preserve">Drawdown of Islamic Medium Term Notes </v>
          </cell>
          <cell r="E85"/>
        </row>
        <row r="86">
          <cell r="C86" t="str">
            <v>Drawdown of Islamic Medium Term Notes</v>
          </cell>
          <cell r="E86">
            <v>1345000</v>
          </cell>
        </row>
        <row r="87">
          <cell r="C87" t="str">
            <v>Subscription of shares by non-controlling shareholder in a subsidiary</v>
          </cell>
          <cell r="E87">
            <v>0</v>
          </cell>
        </row>
        <row r="88">
          <cell r="C88" t="str">
            <v>Repayment from joint ventures</v>
          </cell>
          <cell r="E88">
            <v>0</v>
          </cell>
        </row>
        <row r="89">
          <cell r="C89" t="str">
            <v>Repayment from immediate holding company</v>
          </cell>
          <cell r="E89">
            <v>0</v>
          </cell>
        </row>
        <row r="90">
          <cell r="C90" t="str">
            <v>Advance to joint ventures</v>
          </cell>
          <cell r="E90">
            <v>0</v>
          </cell>
        </row>
        <row r="91">
          <cell r="C91" t="str">
            <v>Advance from a corporate shareholder</v>
          </cell>
          <cell r="E91">
            <v>0</v>
          </cell>
        </row>
        <row r="92">
          <cell r="C92" t="str">
            <v>Redemption of Redeemable Convertible Preference Shares ("RCPS")</v>
          </cell>
          <cell r="E92">
            <v>0</v>
          </cell>
        </row>
        <row r="93">
          <cell r="E93"/>
        </row>
        <row r="94">
          <cell r="C94" t="str">
            <v>Repayment of borrowings</v>
          </cell>
          <cell r="E94">
            <v>-1280181</v>
          </cell>
        </row>
        <row r="95">
          <cell r="C95" t="str">
            <v>Repayment of Islamic Medium Term Notes</v>
          </cell>
          <cell r="E95">
            <v>-1020000</v>
          </cell>
        </row>
        <row r="96">
          <cell r="C96" t="str">
            <v>Repayment of loan from immediate holding company</v>
          </cell>
          <cell r="E96">
            <v>0</v>
          </cell>
        </row>
        <row r="97">
          <cell r="C97" t="str">
            <v>Repayment of lease liabilities</v>
          </cell>
          <cell r="E97">
            <v>-3403</v>
          </cell>
        </row>
        <row r="98">
          <cell r="C98" t="str">
            <v>Dividend paid</v>
          </cell>
          <cell r="E98">
            <v>-25292</v>
          </cell>
        </row>
        <row r="99">
          <cell r="C99" t="str">
            <v>Interest paid</v>
          </cell>
          <cell r="E99">
            <v>-164056</v>
          </cell>
        </row>
        <row r="103">
          <cell r="B103" t="str">
            <v>Effects of exchange rate changes</v>
          </cell>
          <cell r="E103">
            <v>3667</v>
          </cell>
        </row>
        <row r="104">
          <cell r="E104"/>
        </row>
        <row r="105">
          <cell r="B105" t="str">
            <v>Net increase in cash and cash equivalents</v>
          </cell>
          <cell r="C105"/>
          <cell r="E105">
            <v>108006</v>
          </cell>
        </row>
        <row r="106">
          <cell r="B106" t="str">
            <v>Cash and cash equivalents as at beginning of financial period</v>
          </cell>
          <cell r="C106"/>
          <cell r="E106">
            <v>995768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"/>
      <sheetName val="Luca PL"/>
      <sheetName val="Luca BS"/>
      <sheetName val="CFLookup"/>
      <sheetName val="BS"/>
      <sheetName val="CF"/>
      <sheetName val="BSLookup"/>
      <sheetName val="sukuk"/>
      <sheetName val="I"/>
      <sheetName val="II"/>
      <sheetName val="III"/>
      <sheetName val="IV(SOCIE)"/>
      <sheetName val="V(note 1-7)"/>
      <sheetName val="V(note 8-13)"/>
      <sheetName val="V(note 14-15 CP)"/>
      <sheetName val="V(note 16)"/>
      <sheetName val="V(note 17-18)"/>
      <sheetName val="V(note 19-22)"/>
      <sheetName val="Segmental"/>
      <sheetName val="Analysis"/>
      <sheetName val="Adj22"/>
      <sheetName val="Adj"/>
      <sheetName val="CF comp"/>
      <sheetName val="GPM"/>
      <sheetName val="G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C21" t="str">
            <v>Property, plant and equipment</v>
          </cell>
        </row>
      </sheetData>
      <sheetData sheetId="10">
        <row r="19">
          <cell r="C19" t="str">
            <v>Cash receipts from customers</v>
          </cell>
          <cell r="E19">
            <v>1475508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75246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-891021</v>
          </cell>
        </row>
        <row r="25">
          <cell r="C25" t="str">
            <v>Cash payments for land and development related costs</v>
          </cell>
          <cell r="E25">
            <v>-10007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-5407</v>
          </cell>
        </row>
        <row r="29">
          <cell r="C29" t="str">
            <v>Cash payments to employees and for expenses</v>
          </cell>
          <cell r="E29">
            <v>-239812</v>
          </cell>
        </row>
        <row r="30">
          <cell r="C30" t="str">
            <v>Cash generated from/(used in) operations</v>
          </cell>
          <cell r="E30">
            <v>404507</v>
          </cell>
        </row>
        <row r="31">
          <cell r="C31" t="str">
            <v>Net income tax paid</v>
          </cell>
          <cell r="E31">
            <v>-67734</v>
          </cell>
        </row>
        <row r="32">
          <cell r="C32" t="str">
            <v>Zakat paid</v>
          </cell>
          <cell r="E32">
            <v>-1530</v>
          </cell>
        </row>
        <row r="33">
          <cell r="C33" t="str">
            <v>Interest received</v>
          </cell>
          <cell r="E33">
            <v>25401</v>
          </cell>
        </row>
        <row r="37">
          <cell r="C37" t="str">
            <v>Dividend received from a joint venture</v>
          </cell>
          <cell r="E37">
            <v>36000</v>
          </cell>
        </row>
        <row r="38">
          <cell r="C38" t="str">
            <v>Dividend received from an associate</v>
          </cell>
          <cell r="E38">
            <v>0</v>
          </cell>
        </row>
        <row r="39">
          <cell r="C39" t="str">
            <v>Proceeds from disposal of property, plant and equipment</v>
          </cell>
          <cell r="E39"/>
        </row>
        <row r="40">
          <cell r="C40" t="str">
            <v>Proceeds from disposal of property, plant and equipment</v>
          </cell>
          <cell r="E40">
            <v>0</v>
          </cell>
        </row>
        <row r="41">
          <cell r="C41" t="str">
            <v xml:space="preserve">   - investment properties</v>
          </cell>
          <cell r="E41">
            <v>0</v>
          </cell>
        </row>
        <row r="42">
          <cell r="C42" t="str">
            <v xml:space="preserve">   - short term investment</v>
          </cell>
          <cell r="E42"/>
        </row>
        <row r="43">
          <cell r="C43" t="str">
            <v xml:space="preserve">   - an associate</v>
          </cell>
          <cell r="D43"/>
          <cell r="E43">
            <v>0</v>
          </cell>
        </row>
        <row r="44">
          <cell r="C44" t="str">
            <v xml:space="preserve">   - an available-for-sale investment</v>
          </cell>
          <cell r="E44">
            <v>0</v>
          </cell>
        </row>
        <row r="45">
          <cell r="C45" t="str">
            <v>Capital distribution from an associate under liquidation</v>
          </cell>
          <cell r="E45">
            <v>0</v>
          </cell>
        </row>
        <row r="46">
          <cell r="C46" t="str">
            <v>Repayment from a joint venture</v>
          </cell>
          <cell r="E46">
            <v>0</v>
          </cell>
        </row>
        <row r="47">
          <cell r="C47" t="str">
            <v>Advance from a related party</v>
          </cell>
          <cell r="E47">
            <v>0</v>
          </cell>
        </row>
        <row r="48">
          <cell r="C48" t="str">
            <v>Refund of shares subscription deposit</v>
          </cell>
          <cell r="E48">
            <v>0</v>
          </cell>
        </row>
        <row r="49">
          <cell r="C49" t="str">
            <v>Proceeds from disposal of</v>
          </cell>
          <cell r="E49"/>
        </row>
        <row r="50">
          <cell r="C50" t="str">
            <v>Deposit refund for development rights of a land</v>
          </cell>
          <cell r="E50">
            <v>0</v>
          </cell>
        </row>
        <row r="51">
          <cell r="C51" t="str">
            <v>Net proceeds from disposal of subsidiary</v>
          </cell>
          <cell r="D51"/>
          <cell r="E51">
            <v>0</v>
          </cell>
        </row>
        <row r="52">
          <cell r="C52" t="str">
            <v>Deposit received for partial disposal of subsidiary</v>
          </cell>
          <cell r="D52"/>
          <cell r="E52">
            <v>0</v>
          </cell>
        </row>
        <row r="53">
          <cell r="C53" t="str">
            <v>Net proceeds from partial disposal of a joint ventures</v>
          </cell>
          <cell r="D53" t="str">
            <v>11(iv)</v>
          </cell>
          <cell r="E53">
            <v>8655</v>
          </cell>
        </row>
        <row r="54">
          <cell r="C54" t="str">
            <v>Purchase of property, plant and equipment</v>
          </cell>
          <cell r="E54">
            <v>-645</v>
          </cell>
        </row>
        <row r="55">
          <cell r="C55" t="str">
            <v>Purchase of investment property</v>
          </cell>
          <cell r="E55">
            <v>-9551</v>
          </cell>
        </row>
        <row r="56">
          <cell r="C56" t="str">
            <v>Advances to an associate</v>
          </cell>
          <cell r="E56">
            <v>0</v>
          </cell>
        </row>
        <row r="57">
          <cell r="C57" t="str">
            <v>Advances to joint ventures</v>
          </cell>
          <cell r="E57">
            <v>11250</v>
          </cell>
        </row>
        <row r="58">
          <cell r="C58" t="str">
            <v>Business combination</v>
          </cell>
          <cell r="D58"/>
          <cell r="E58">
            <v>0</v>
          </cell>
        </row>
        <row r="59">
          <cell r="C59" t="str">
            <v>Redemption of Redeemable Non-convertible Non-cumulative</v>
          </cell>
          <cell r="D59"/>
          <cell r="E59"/>
        </row>
        <row r="60">
          <cell r="C60" t="str">
            <v xml:space="preserve">   Preference Shares from an associate</v>
          </cell>
          <cell r="E60">
            <v>0</v>
          </cell>
        </row>
        <row r="61">
          <cell r="C61" t="str">
            <v xml:space="preserve">Redemption of Sukuk </v>
          </cell>
          <cell r="E61"/>
        </row>
        <row r="62">
          <cell r="C62" t="str">
            <v>Investment in a joint venture</v>
          </cell>
          <cell r="E62">
            <v>-1725</v>
          </cell>
        </row>
        <row r="63">
          <cell r="C63" t="str">
            <v>Investment in land held for property development</v>
          </cell>
          <cell r="E63">
            <v>-33742</v>
          </cell>
        </row>
        <row r="64">
          <cell r="C64" t="str">
            <v>Investment in long term investment</v>
          </cell>
          <cell r="E64">
            <v>0</v>
          </cell>
        </row>
        <row r="65">
          <cell r="C65" t="str">
            <v>Net redemption in short term investments</v>
          </cell>
          <cell r="E65">
            <v>-15977</v>
          </cell>
        </row>
        <row r="86">
          <cell r="C86" t="str">
            <v>Drawdown of borrowings</v>
          </cell>
          <cell r="E86">
            <v>921308</v>
          </cell>
        </row>
        <row r="87">
          <cell r="C87" t="str">
            <v xml:space="preserve">Drawdown of Islamic Medium Term Notes </v>
          </cell>
          <cell r="E87"/>
        </row>
        <row r="88">
          <cell r="C88" t="str">
            <v>Drawdown of Islamic Medium Term Notes</v>
          </cell>
          <cell r="E88">
            <v>1695000</v>
          </cell>
        </row>
        <row r="89">
          <cell r="C89" t="str">
            <v>Subscription of shares by non-controlling shareholder in a subsidiary</v>
          </cell>
          <cell r="E89">
            <v>0</v>
          </cell>
        </row>
        <row r="90">
          <cell r="C90" t="str">
            <v>Repayment from joint ventures</v>
          </cell>
          <cell r="E90">
            <v>0</v>
          </cell>
        </row>
        <row r="91">
          <cell r="C91" t="str">
            <v>Repayment from immediate holding company</v>
          </cell>
          <cell r="E91">
            <v>0</v>
          </cell>
        </row>
        <row r="92">
          <cell r="C92" t="str">
            <v>Advance to joint ventures</v>
          </cell>
          <cell r="E92">
            <v>0</v>
          </cell>
        </row>
        <row r="93">
          <cell r="C93" t="str">
            <v>Advance from a corporate shareholder</v>
          </cell>
          <cell r="E93">
            <v>0</v>
          </cell>
        </row>
        <row r="94">
          <cell r="C94" t="str">
            <v>Redemption of Redeemable Convertible Preference Shares ("RCPS")</v>
          </cell>
          <cell r="E94">
            <v>0</v>
          </cell>
        </row>
        <row r="95">
          <cell r="E95"/>
        </row>
        <row r="96">
          <cell r="C96" t="str">
            <v>Repayment of borrowings</v>
          </cell>
          <cell r="E96">
            <v>-1265334</v>
          </cell>
        </row>
        <row r="97">
          <cell r="C97" t="str">
            <v>Repayment of Islamic Medium Term Notes</v>
          </cell>
          <cell r="E97">
            <v>-1474542</v>
          </cell>
        </row>
        <row r="98">
          <cell r="C98" t="str">
            <v>Repayment of loan from immediate holding company</v>
          </cell>
          <cell r="E98">
            <v>0</v>
          </cell>
        </row>
        <row r="99">
          <cell r="C99" t="str">
            <v>Repayment of lease liabilities</v>
          </cell>
          <cell r="E99">
            <v>-4566</v>
          </cell>
        </row>
        <row r="100">
          <cell r="C100" t="str">
            <v>Dividend paid</v>
          </cell>
          <cell r="E100">
            <v>-25292</v>
          </cell>
        </row>
        <row r="101">
          <cell r="C101" t="str">
            <v>Interest paid</v>
          </cell>
          <cell r="E101">
            <v>-213259</v>
          </cell>
        </row>
        <row r="105">
          <cell r="B105" t="str">
            <v>Effects of exchange rate changes</v>
          </cell>
          <cell r="E105">
            <v>15377</v>
          </cell>
        </row>
        <row r="106">
          <cell r="E106"/>
        </row>
        <row r="107">
          <cell r="B107" t="str">
            <v>Net increase in cash and cash equivalents</v>
          </cell>
          <cell r="C107"/>
          <cell r="E107">
            <v>3601</v>
          </cell>
        </row>
        <row r="108">
          <cell r="B108" t="str">
            <v>Cash and cash equivalents as at beginning of financial period</v>
          </cell>
          <cell r="C108"/>
          <cell r="E108">
            <v>995768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"/>
      <sheetName val="II"/>
      <sheetName val="III"/>
      <sheetName val="IV(SOCIE)"/>
      <sheetName val="PL"/>
      <sheetName val="BSLookup"/>
      <sheetName val="BS"/>
      <sheetName val="CFLookup"/>
      <sheetName val="CF"/>
      <sheetName val="OI"/>
      <sheetName val="PL17"/>
      <sheetName val="BS17"/>
      <sheetName val="MFRSs (Haris)"/>
      <sheetName val="V(note 1-8)"/>
      <sheetName val="DebtSecurities"/>
      <sheetName val="V(note 9-14)"/>
      <sheetName val="V(note 15 CP)"/>
      <sheetName val="V(note 16)"/>
      <sheetName val="V(note 17-19)"/>
      <sheetName val="V(note 20-26)"/>
      <sheetName val="CLA"/>
      <sheetName val="UPEN supporting"/>
      <sheetName val="Recon"/>
      <sheetName val="Fx"/>
      <sheetName val="CV"/>
      <sheetName val="CORP PROP"/>
      <sheetName val="Adj"/>
      <sheetName val="Loan1"/>
      <sheetName val="Loan2"/>
      <sheetName val="Notes"/>
      <sheetName val="Notes2"/>
      <sheetName val="Notes3"/>
      <sheetName val="Segmental"/>
      <sheetName val="Analysis"/>
      <sheetName val="sukuk"/>
      <sheetName val="Mega"/>
    </sheetNames>
    <sheetDataSet>
      <sheetData sheetId="0"/>
      <sheetData sheetId="1">
        <row r="21">
          <cell r="C21" t="str">
            <v>Property, plant and equipment</v>
          </cell>
        </row>
      </sheetData>
      <sheetData sheetId="2">
        <row r="19">
          <cell r="C19" t="str">
            <v>Cash receipts from customers</v>
          </cell>
          <cell r="E19">
            <v>1911860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13354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-596687</v>
          </cell>
        </row>
        <row r="25">
          <cell r="C25" t="str">
            <v>Cash payments for land and development related costs</v>
          </cell>
          <cell r="E25">
            <v>-58337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-6378</v>
          </cell>
        </row>
        <row r="29">
          <cell r="C29" t="str">
            <v>Cash payments to employees and for expenses</v>
          </cell>
          <cell r="E29">
            <v>-368610</v>
          </cell>
        </row>
        <row r="30">
          <cell r="C30" t="str">
            <v>Cash generated from/(used in) operations</v>
          </cell>
          <cell r="E30">
            <v>895202</v>
          </cell>
        </row>
        <row r="31">
          <cell r="C31" t="str">
            <v>Net income tax paid</v>
          </cell>
          <cell r="E31">
            <v>-39981</v>
          </cell>
        </row>
        <row r="32">
          <cell r="C32" t="str">
            <v>Interest received</v>
          </cell>
          <cell r="E32">
            <v>14300</v>
          </cell>
        </row>
        <row r="33">
          <cell r="C33" t="str">
            <v>Net cash generated from/(used in) operating activities</v>
          </cell>
          <cell r="E33">
            <v>869521</v>
          </cell>
        </row>
        <row r="36">
          <cell r="C36" t="str">
            <v>Dividend received from a joint venture</v>
          </cell>
          <cell r="E36">
            <v>15000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>Proceeds from disposal of short term investment</v>
          </cell>
          <cell r="E41">
            <v>49867</v>
          </cell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2000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10000</v>
          </cell>
        </row>
        <row r="50">
          <cell r="C50" t="str">
            <v>Purchase of property, plant and equipment</v>
          </cell>
          <cell r="E50">
            <v>-27519</v>
          </cell>
        </row>
        <row r="51">
          <cell r="C51" t="str">
            <v>Purchase of investment property</v>
          </cell>
          <cell r="E51">
            <v>0</v>
          </cell>
        </row>
        <row r="52">
          <cell r="C52" t="str">
            <v>Acquisition of subsidiary, net of cash and cash equivalent acquired</v>
          </cell>
          <cell r="E52">
            <v>0</v>
          </cell>
        </row>
        <row r="53">
          <cell r="C53" t="str">
            <v>Advances to joint ventures</v>
          </cell>
          <cell r="E53">
            <v>-6077</v>
          </cell>
        </row>
        <row r="54">
          <cell r="C54" t="str">
            <v>Investment in an associate</v>
          </cell>
          <cell r="E54">
            <v>0</v>
          </cell>
        </row>
        <row r="55">
          <cell r="C55" t="str">
            <v>Business combination</v>
          </cell>
          <cell r="D55" t="str">
            <v>11(a)</v>
          </cell>
          <cell r="E55">
            <v>-211835</v>
          </cell>
        </row>
        <row r="56">
          <cell r="E56"/>
        </row>
        <row r="57">
          <cell r="C57" t="str">
            <v>Investment in joint ventures</v>
          </cell>
          <cell r="E57">
            <v>0</v>
          </cell>
        </row>
        <row r="58">
          <cell r="C58" t="str">
            <v>Investment in land held for property development</v>
          </cell>
          <cell r="E58">
            <v>-45000</v>
          </cell>
        </row>
        <row r="59">
          <cell r="C59" t="str">
            <v>Net investment in short term investments</v>
          </cell>
          <cell r="E59">
            <v>0</v>
          </cell>
        </row>
        <row r="60">
          <cell r="C60" t="str">
            <v>Deposit paid for subscription of shares</v>
          </cell>
          <cell r="E60">
            <v>0</v>
          </cell>
        </row>
        <row r="80">
          <cell r="C80" t="str">
            <v>Drawdown of borrowings</v>
          </cell>
          <cell r="E80">
            <v>752692</v>
          </cell>
        </row>
        <row r="81">
          <cell r="C81" t="str">
            <v>Drawdown of Islamic Medium Term Notes</v>
          </cell>
          <cell r="E81">
            <v>300000</v>
          </cell>
        </row>
        <row r="82">
          <cell r="C82" t="str">
            <v xml:space="preserve">Drawdown of  Islamic Medium Term Notes ("IMTN") </v>
          </cell>
          <cell r="E82">
            <v>0</v>
          </cell>
        </row>
        <row r="83">
          <cell r="C83" t="str">
            <v>Subscription of shares by non-controlling shareholder in a subsidiary</v>
          </cell>
          <cell r="E83">
            <v>0</v>
          </cell>
        </row>
        <row r="84">
          <cell r="C84" t="str">
            <v>Repayment from joint ventures</v>
          </cell>
          <cell r="E84">
            <v>0</v>
          </cell>
        </row>
        <row r="85">
          <cell r="C85" t="str">
            <v>Repayment from immediate holding company</v>
          </cell>
          <cell r="E85">
            <v>0</v>
          </cell>
        </row>
        <row r="86">
          <cell r="C86" t="str">
            <v>Advance to joint ventures</v>
          </cell>
          <cell r="E86">
            <v>0</v>
          </cell>
        </row>
        <row r="87">
          <cell r="C87" t="str">
            <v>Advance to a joint venture</v>
          </cell>
          <cell r="E87"/>
        </row>
        <row r="88">
          <cell r="C88" t="str">
            <v>Repayment of borrowings</v>
          </cell>
          <cell r="E88">
            <v>-1658281</v>
          </cell>
        </row>
        <row r="89">
          <cell r="C89" t="str">
            <v>Repayment of Islamic Medium Term Notes</v>
          </cell>
          <cell r="E89">
            <v>-300000</v>
          </cell>
        </row>
        <row r="90">
          <cell r="C90" t="str">
            <v>Repayment to immediate holding company</v>
          </cell>
          <cell r="E90">
            <v>0</v>
          </cell>
        </row>
        <row r="91">
          <cell r="C91" t="str">
            <v>Repayment of lease liabilities</v>
          </cell>
          <cell r="E91">
            <v>-3177</v>
          </cell>
        </row>
        <row r="92">
          <cell r="C92" t="str">
            <v>Dividend paid</v>
          </cell>
          <cell r="E92">
            <v>0</v>
          </cell>
        </row>
        <row r="93">
          <cell r="C93" t="str">
            <v>Interest paid</v>
          </cell>
          <cell r="E93">
            <v>-108299</v>
          </cell>
        </row>
        <row r="97">
          <cell r="B97" t="str">
            <v>Effects of exchange rate changes</v>
          </cell>
          <cell r="E97">
            <v>-4142</v>
          </cell>
        </row>
        <row r="98">
          <cell r="E98"/>
        </row>
        <row r="99">
          <cell r="B99" t="str">
            <v>Net decrease in cash and cash equivalents</v>
          </cell>
          <cell r="C99"/>
          <cell r="E99">
            <v>-365250</v>
          </cell>
        </row>
        <row r="100">
          <cell r="B100" t="str">
            <v>Cash and cash equivalents as at beginning of financial period</v>
          </cell>
          <cell r="C100"/>
          <cell r="E100">
            <v>1076943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"/>
      <sheetName val="Luca PL"/>
      <sheetName val="Luca BS"/>
      <sheetName val="CFLookup"/>
      <sheetName val="BS"/>
      <sheetName val="CF"/>
      <sheetName val="BSLookup"/>
      <sheetName val="sukuk"/>
      <sheetName val="I"/>
      <sheetName val="III"/>
      <sheetName val="II"/>
      <sheetName val="IV(SOCIE)"/>
      <sheetName val="V(note 1-7)"/>
      <sheetName val="V(note 8-13)"/>
      <sheetName val="V(note 14-15 CP)"/>
      <sheetName val="V(note 16)"/>
      <sheetName val="V(note 17-18)"/>
      <sheetName val="V(note 19-22)"/>
      <sheetName val="Segmental"/>
      <sheetName val="Analysis"/>
      <sheetName val="Adj22"/>
      <sheetName val="Adj"/>
      <sheetName val="CF comp"/>
      <sheetName val="GPM"/>
      <sheetName val="G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">
          <cell r="C19" t="str">
            <v>Cash receipts from customers</v>
          </cell>
          <cell r="E19">
            <v>398660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56909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-264505</v>
          </cell>
        </row>
        <row r="25">
          <cell r="C25" t="str">
            <v>Cash payments for land and development related costs</v>
          </cell>
          <cell r="E25">
            <v>-151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E27">
            <v>0</v>
          </cell>
        </row>
        <row r="28">
          <cell r="C28" t="str">
            <v>Cash payments to related parties</v>
          </cell>
          <cell r="E28">
            <v>-102</v>
          </cell>
        </row>
        <row r="29">
          <cell r="C29" t="str">
            <v>Cash payments to employees and for expenses</v>
          </cell>
          <cell r="E29">
            <v>-67015</v>
          </cell>
        </row>
        <row r="30">
          <cell r="C30" t="str">
            <v>Cash generated from/(used in) operations</v>
          </cell>
          <cell r="E30">
            <v>123796</v>
          </cell>
        </row>
        <row r="31">
          <cell r="C31" t="str">
            <v>Net income tax paid</v>
          </cell>
          <cell r="E31">
            <v>-19793</v>
          </cell>
        </row>
        <row r="32">
          <cell r="C32" t="str">
            <v>Zakat paid</v>
          </cell>
          <cell r="E32">
            <v>0</v>
          </cell>
        </row>
        <row r="33">
          <cell r="C33" t="str">
            <v>Interest received</v>
          </cell>
          <cell r="E33">
            <v>7288</v>
          </cell>
        </row>
        <row r="54">
          <cell r="C54" t="str">
            <v>Purchase of property, plant and equipment</v>
          </cell>
          <cell r="E54">
            <v>-3</v>
          </cell>
        </row>
        <row r="55">
          <cell r="C55" t="str">
            <v>Purchase of investment properties</v>
          </cell>
          <cell r="E55">
            <v>0</v>
          </cell>
        </row>
        <row r="56">
          <cell r="C56" t="str">
            <v>Advances to an associate</v>
          </cell>
          <cell r="E56">
            <v>0</v>
          </cell>
        </row>
        <row r="57">
          <cell r="C57" t="str">
            <v>Net repayment from joint ventures</v>
          </cell>
          <cell r="E57">
            <v>0</v>
          </cell>
        </row>
        <row r="58">
          <cell r="C58" t="str">
            <v>Business combination</v>
          </cell>
          <cell r="E58">
            <v>0</v>
          </cell>
        </row>
        <row r="59">
          <cell r="C59" t="str">
            <v>Redemption of Redeemable Non-convertible Non-cumulative</v>
          </cell>
        </row>
        <row r="60">
          <cell r="C60" t="str">
            <v xml:space="preserve">   Preference Shares from an associate</v>
          </cell>
          <cell r="E60">
            <v>0</v>
          </cell>
        </row>
        <row r="61">
          <cell r="C61" t="str">
            <v xml:space="preserve">Redemption of Sukuk </v>
          </cell>
        </row>
        <row r="62">
          <cell r="C62" t="str">
            <v>Investment in a joint venture</v>
          </cell>
          <cell r="E62">
            <v>0</v>
          </cell>
        </row>
        <row r="63">
          <cell r="C63" t="str">
            <v>Investment in land held for property development</v>
          </cell>
          <cell r="E63">
            <v>-179371</v>
          </cell>
        </row>
        <row r="64">
          <cell r="C64" t="str">
            <v>Investment in long term investment</v>
          </cell>
          <cell r="E64">
            <v>0</v>
          </cell>
        </row>
        <row r="65">
          <cell r="C65" t="str">
            <v>Net investment in short term investments</v>
          </cell>
          <cell r="E65">
            <v>93183</v>
          </cell>
        </row>
        <row r="86">
          <cell r="C86" t="str">
            <v>Drawdown of borrowings</v>
          </cell>
          <cell r="E86">
            <v>69219</v>
          </cell>
        </row>
        <row r="87">
          <cell r="C87" t="str">
            <v xml:space="preserve">Drawdown of Islamic Medium Term Notes </v>
          </cell>
        </row>
        <row r="88">
          <cell r="C88" t="str">
            <v>Drawdown of Islamic Medium Term Notes</v>
          </cell>
          <cell r="E88">
            <v>500000</v>
          </cell>
        </row>
        <row r="89">
          <cell r="C89" t="str">
            <v>Subscription of shares by non-controlling shareholder in a subsidiary</v>
          </cell>
          <cell r="E89">
            <v>0</v>
          </cell>
        </row>
        <row r="90">
          <cell r="C90" t="str">
            <v>Repayment from joint ventures</v>
          </cell>
          <cell r="E90">
            <v>0</v>
          </cell>
        </row>
        <row r="91">
          <cell r="C91" t="str">
            <v>Repayment from immediate holding company</v>
          </cell>
          <cell r="E91">
            <v>0</v>
          </cell>
        </row>
        <row r="92">
          <cell r="C92" t="str">
            <v>Advance to joint ventures</v>
          </cell>
          <cell r="E92">
            <v>0</v>
          </cell>
        </row>
        <row r="93">
          <cell r="C93" t="str">
            <v>Advance from a corporate shareholder</v>
          </cell>
          <cell r="E93">
            <v>0</v>
          </cell>
        </row>
        <row r="94">
          <cell r="C94" t="str">
            <v>Redemption of Redeemable Convertible Preference Shares ("RCPS")</v>
          </cell>
          <cell r="E94">
            <v>0</v>
          </cell>
        </row>
        <row r="96">
          <cell r="C96" t="str">
            <v>Repayment of borrowings</v>
          </cell>
          <cell r="E96">
            <v>-17976</v>
          </cell>
        </row>
        <row r="97">
          <cell r="C97" t="str">
            <v>Repayment of Islamic Medium Term Notes</v>
          </cell>
          <cell r="E97">
            <v>-530000</v>
          </cell>
        </row>
        <row r="98">
          <cell r="C98" t="str">
            <v>Repayment of loan from immediate holding company</v>
          </cell>
          <cell r="E98">
            <v>0</v>
          </cell>
        </row>
        <row r="99">
          <cell r="C99" t="str">
            <v>Repayment of lease liabilities</v>
          </cell>
          <cell r="E99">
            <v>-1048</v>
          </cell>
        </row>
        <row r="100">
          <cell r="C100" t="str">
            <v>Dividend paid</v>
          </cell>
          <cell r="E100">
            <v>0</v>
          </cell>
        </row>
        <row r="101">
          <cell r="C101" t="str">
            <v>Interest paid</v>
          </cell>
          <cell r="E101">
            <v>-47239</v>
          </cell>
        </row>
        <row r="105">
          <cell r="B105" t="str">
            <v>Effects of exchange rate changes</v>
          </cell>
          <cell r="E105">
            <v>-3793</v>
          </cell>
        </row>
        <row r="107">
          <cell r="B107" t="str">
            <v>Net increase / (decrease) in cash and cash equivalents</v>
          </cell>
          <cell r="E107">
            <v>-5737</v>
          </cell>
        </row>
        <row r="108">
          <cell r="B108" t="str">
            <v>Cash and cash equivalents as at beginning of financial period</v>
          </cell>
          <cell r="E108">
            <v>763314</v>
          </cell>
        </row>
      </sheetData>
      <sheetData sheetId="10">
        <row r="21">
          <cell r="C21" t="str">
            <v>Property, plant and equipment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"/>
      <sheetName val="II"/>
      <sheetName val="III"/>
      <sheetName val="IV(SOCIE)"/>
      <sheetName val="PL"/>
      <sheetName val="BS"/>
      <sheetName val="CF"/>
      <sheetName val="BSLookup"/>
      <sheetName val="adj."/>
      <sheetName val="CFLookup"/>
      <sheetName val="OI"/>
      <sheetName val="PL17"/>
      <sheetName val="BS17"/>
      <sheetName val="MFRSs (Haris)"/>
      <sheetName val="V(note 1-8)"/>
      <sheetName val="DebtSecurities"/>
      <sheetName val="V(note 9-14)"/>
      <sheetName val="V(note 15 CP)"/>
      <sheetName val="V(note 16)"/>
      <sheetName val="V(note 17-19)"/>
      <sheetName val="V(note 20-26)"/>
      <sheetName val="AD4"/>
      <sheetName val="Simulation"/>
      <sheetName val="Adoption - HHSB &amp; MFRS 16"/>
      <sheetName val="CLA"/>
      <sheetName val="UPEN supporting"/>
      <sheetName val="Recon"/>
      <sheetName val="Fx"/>
      <sheetName val="CV"/>
      <sheetName val="CORP PROP"/>
      <sheetName val="Adj"/>
      <sheetName val="Loan1"/>
      <sheetName val="Loan2"/>
      <sheetName val="Notes"/>
      <sheetName val="Notes2"/>
      <sheetName val="Notes3"/>
      <sheetName val="Segmental"/>
      <sheetName val="Analysis"/>
      <sheetName val="sukuk"/>
      <sheetName val="Mega"/>
    </sheetNames>
    <sheetDataSet>
      <sheetData sheetId="0"/>
      <sheetData sheetId="1">
        <row r="21">
          <cell r="C21" t="str">
            <v>Property, plant and equipment</v>
          </cell>
        </row>
      </sheetData>
      <sheetData sheetId="2">
        <row r="19">
          <cell r="C19" t="str">
            <v>Cash receipts from customers</v>
          </cell>
          <cell r="E19">
            <v>3057907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24374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-732423</v>
          </cell>
        </row>
        <row r="25">
          <cell r="C25" t="str">
            <v>Cash payments for land and development related costs</v>
          </cell>
          <cell r="E25">
            <v>-115838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-16493</v>
          </cell>
        </row>
        <row r="29">
          <cell r="C29" t="str">
            <v>Cash payments to employees and for expenses</v>
          </cell>
          <cell r="E29">
            <v>-476085</v>
          </cell>
        </row>
        <row r="30">
          <cell r="C30" t="str">
            <v>Cash generated from/(used in) operations</v>
          </cell>
          <cell r="E30">
            <v>1741442</v>
          </cell>
        </row>
        <row r="31">
          <cell r="C31" t="str">
            <v>Net income tax paid</v>
          </cell>
          <cell r="E31">
            <v>-103068</v>
          </cell>
        </row>
        <row r="32">
          <cell r="C32" t="str">
            <v>Interest received</v>
          </cell>
          <cell r="E32">
            <v>21859</v>
          </cell>
        </row>
        <row r="33">
          <cell r="C33" t="str">
            <v>Net cash generated from operating activities</v>
          </cell>
          <cell r="E33">
            <v>1660233</v>
          </cell>
        </row>
        <row r="34">
          <cell r="E34"/>
        </row>
        <row r="35">
          <cell r="E35"/>
        </row>
        <row r="36">
          <cell r="C36" t="str">
            <v>Dividend received from a joint venture</v>
          </cell>
          <cell r="E36">
            <v>30000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2000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10000</v>
          </cell>
        </row>
        <row r="50">
          <cell r="C50" t="str">
            <v>Purchase of property, plant and equipment</v>
          </cell>
          <cell r="E50">
            <v>-37866</v>
          </cell>
        </row>
        <row r="51">
          <cell r="C51" t="str">
            <v>Proceeds from disposal of investment property</v>
          </cell>
          <cell r="E51">
            <v>2810</v>
          </cell>
        </row>
        <row r="52">
          <cell r="C52" t="str">
            <v>Acquisition of subsidiary, net of cash and cash equivalent acquired</v>
          </cell>
          <cell r="E52">
            <v>0</v>
          </cell>
        </row>
        <row r="53">
          <cell r="C53" t="str">
            <v>Advances to joint ventures</v>
          </cell>
          <cell r="E53">
            <v>-18861</v>
          </cell>
        </row>
        <row r="54">
          <cell r="C54" t="str">
            <v>Investment in joint ventures</v>
          </cell>
          <cell r="E54">
            <v>0</v>
          </cell>
        </row>
        <row r="55">
          <cell r="C55" t="str">
            <v>Business combination</v>
          </cell>
          <cell r="D55" t="str">
            <v>11(a)</v>
          </cell>
          <cell r="E55">
            <v>-214074</v>
          </cell>
        </row>
        <row r="56">
          <cell r="E56"/>
        </row>
        <row r="57">
          <cell r="C57" t="str">
            <v>Investment in joint ventures</v>
          </cell>
          <cell r="E57">
            <v>0</v>
          </cell>
        </row>
        <row r="58">
          <cell r="C58" t="str">
            <v>Investment in land held for property development</v>
          </cell>
          <cell r="E58">
            <v>-45000</v>
          </cell>
        </row>
        <row r="59">
          <cell r="C59" t="str">
            <v>Net investment in short term investments</v>
          </cell>
          <cell r="E59">
            <v>51300</v>
          </cell>
        </row>
        <row r="60">
          <cell r="C60" t="str">
            <v>Deposit paid for subscription of shares</v>
          </cell>
          <cell r="E60">
            <v>0</v>
          </cell>
        </row>
        <row r="61">
          <cell r="C61" t="str">
            <v>Net cash used in investing activities</v>
          </cell>
          <cell r="E61">
            <v>-219691</v>
          </cell>
        </row>
        <row r="80">
          <cell r="C80" t="str">
            <v>Drawdown of borrowings</v>
          </cell>
          <cell r="E80">
            <v>990502</v>
          </cell>
        </row>
        <row r="81">
          <cell r="C81" t="str">
            <v>Drawdown of Islamic Medium Term Notes</v>
          </cell>
          <cell r="E81">
            <v>300000</v>
          </cell>
        </row>
        <row r="82">
          <cell r="C82" t="str">
            <v xml:space="preserve">Drawdown of  Islamic Medium Term Notes ("IMTN") </v>
          </cell>
          <cell r="E82">
            <v>0</v>
          </cell>
        </row>
        <row r="83">
          <cell r="C83" t="str">
            <v>Subscription of shares by non-controlling shareholder in a subsidiary</v>
          </cell>
          <cell r="E83">
            <v>0</v>
          </cell>
        </row>
        <row r="84">
          <cell r="C84" t="str">
            <v>Repayment from joint ventures</v>
          </cell>
          <cell r="E84">
            <v>0</v>
          </cell>
        </row>
        <row r="85">
          <cell r="C85" t="str">
            <v>Repayment from immediate holding company</v>
          </cell>
          <cell r="E85">
            <v>0</v>
          </cell>
        </row>
        <row r="86">
          <cell r="C86" t="str">
            <v>Advance to joint ventures</v>
          </cell>
          <cell r="E86">
            <v>0</v>
          </cell>
        </row>
        <row r="87">
          <cell r="C87" t="str">
            <v>Advance to a joint venture</v>
          </cell>
          <cell r="E87"/>
        </row>
        <row r="88">
          <cell r="C88" t="str">
            <v>Repayment of borrowings</v>
          </cell>
          <cell r="E88">
            <v>-2252115</v>
          </cell>
        </row>
        <row r="89">
          <cell r="C89" t="str">
            <v>Repayment of Islamic Medium Term Notes</v>
          </cell>
          <cell r="E89">
            <v>-300000</v>
          </cell>
        </row>
        <row r="90">
          <cell r="C90" t="str">
            <v>Repayment to immediate holding company</v>
          </cell>
          <cell r="E90">
            <v>0</v>
          </cell>
        </row>
        <row r="91">
          <cell r="C91" t="str">
            <v>Repayment of lease liabilities</v>
          </cell>
          <cell r="E91">
            <v>-4507</v>
          </cell>
        </row>
        <row r="92">
          <cell r="C92" t="str">
            <v>Dividend paid</v>
          </cell>
          <cell r="E92">
            <v>0</v>
          </cell>
        </row>
        <row r="93">
          <cell r="C93" t="str">
            <v>Interest paid</v>
          </cell>
          <cell r="E93">
            <v>-195188</v>
          </cell>
        </row>
        <row r="94">
          <cell r="C94" t="str">
            <v>Net cash (used in)/generated from financing activities</v>
          </cell>
          <cell r="E94">
            <v>-1461308</v>
          </cell>
        </row>
        <row r="97">
          <cell r="B97" t="str">
            <v>Effects of exchange rate changes</v>
          </cell>
          <cell r="E97">
            <v>556</v>
          </cell>
        </row>
        <row r="99">
          <cell r="B99" t="str">
            <v>Net (decrease)/increase in cash and cash equivalents</v>
          </cell>
          <cell r="C99"/>
          <cell r="E99">
            <v>-20210</v>
          </cell>
        </row>
        <row r="100">
          <cell r="B100" t="str">
            <v>Cash and cash equivalents as at beginning of financial period</v>
          </cell>
          <cell r="C100"/>
          <cell r="E100">
            <v>1076943</v>
          </cell>
        </row>
        <row r="101">
          <cell r="B101" t="str">
            <v>Cash and cash equivalents as at end of financial year</v>
          </cell>
          <cell r="C101"/>
          <cell r="D101" t="str">
            <v>(a)</v>
          </cell>
          <cell r="E101">
            <v>1056733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"/>
      <sheetName val="IV(SOCIE)"/>
      <sheetName val="BS"/>
      <sheetName val="PL"/>
      <sheetName val="CF"/>
      <sheetName val="BSLookup"/>
      <sheetName val="adj."/>
      <sheetName val="CFLookup"/>
      <sheetName val="OI"/>
      <sheetName val="PL17"/>
      <sheetName val="BS17"/>
      <sheetName val="MFRSs (Haris)"/>
      <sheetName val="V(note 1-9)"/>
      <sheetName val="DebtSecurities"/>
      <sheetName val="V(note 10-14)"/>
      <sheetName val="V(note 15 CP)"/>
      <sheetName val="V(note 16)"/>
      <sheetName val="V(note 17-18)"/>
      <sheetName val="V(note 19-22)"/>
      <sheetName val="AD4"/>
      <sheetName val="Simulation"/>
      <sheetName val="Adoption - HHSB &amp; MFRS 16"/>
      <sheetName val="CLA"/>
      <sheetName val="UPEN supporting"/>
      <sheetName val="Recon"/>
      <sheetName val="Fx"/>
      <sheetName val="CV"/>
      <sheetName val="CORP PROP"/>
      <sheetName val="Adj"/>
      <sheetName val="Loan1"/>
      <sheetName val="Loan2"/>
      <sheetName val="Notes"/>
      <sheetName val="Notes2"/>
      <sheetName val="Notes3"/>
      <sheetName val="Segmental"/>
      <sheetName val="Analysis"/>
      <sheetName val="sukuk"/>
      <sheetName val="Mega"/>
    </sheetNames>
    <sheetDataSet>
      <sheetData sheetId="0"/>
      <sheetData sheetId="1">
        <row r="21">
          <cell r="C21" t="str">
            <v>Property, plant and equipment</v>
          </cell>
        </row>
      </sheetData>
      <sheetData sheetId="2">
        <row r="19">
          <cell r="C19" t="str">
            <v>Cash receipts from customers</v>
          </cell>
          <cell r="E19">
            <v>304968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37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-193265</v>
          </cell>
        </row>
        <row r="25">
          <cell r="C25" t="str">
            <v>Cash payments for land and development related costs</v>
          </cell>
          <cell r="E25">
            <v>-29370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-37</v>
          </cell>
        </row>
        <row r="29">
          <cell r="C29" t="str">
            <v>Cash payments to employees and for expenses</v>
          </cell>
          <cell r="E29">
            <v>-142839</v>
          </cell>
        </row>
        <row r="30">
          <cell r="C30" t="str">
            <v>Cash generated from/(used in) operations</v>
          </cell>
          <cell r="E30">
            <v>-60506</v>
          </cell>
        </row>
        <row r="31">
          <cell r="C31" t="str">
            <v>Net income tax paid</v>
          </cell>
          <cell r="E31">
            <v>-19745</v>
          </cell>
        </row>
        <row r="32">
          <cell r="C32" t="str">
            <v>Interest received</v>
          </cell>
          <cell r="E32">
            <v>3101</v>
          </cell>
        </row>
        <row r="33">
          <cell r="C33" t="str">
            <v>Net cash (used in)/generated from operating activities</v>
          </cell>
          <cell r="E33">
            <v>-77150</v>
          </cell>
        </row>
        <row r="50">
          <cell r="C50" t="str">
            <v>Purchase of property, plant and equipment</v>
          </cell>
          <cell r="E50">
            <v>-7005</v>
          </cell>
        </row>
        <row r="51">
          <cell r="C51" t="str">
            <v>Proceeds from disposal of investment property</v>
          </cell>
          <cell r="E51">
            <v>0</v>
          </cell>
        </row>
        <row r="52">
          <cell r="C52" t="str">
            <v>Acquisition of subsidiary, net of cash and cash equivalent acquired</v>
          </cell>
          <cell r="E52">
            <v>0</v>
          </cell>
        </row>
        <row r="53">
          <cell r="C53" t="str">
            <v>Advances to joint ventures</v>
          </cell>
          <cell r="E53">
            <v>-30000</v>
          </cell>
        </row>
        <row r="54">
          <cell r="C54" t="str">
            <v>Investment in joint ventures</v>
          </cell>
          <cell r="E54">
            <v>0</v>
          </cell>
        </row>
        <row r="55">
          <cell r="C55" t="str">
            <v>Business combination</v>
          </cell>
          <cell r="D55" t="str">
            <v>11(a)</v>
          </cell>
          <cell r="E55">
            <v>0</v>
          </cell>
        </row>
        <row r="56">
          <cell r="E56"/>
        </row>
        <row r="57">
          <cell r="C57" t="str">
            <v>Investment in joint ventures</v>
          </cell>
          <cell r="E57">
            <v>0</v>
          </cell>
        </row>
        <row r="58">
          <cell r="C58" t="str">
            <v>Deposit paid for land acquisition</v>
          </cell>
          <cell r="E58">
            <v>0</v>
          </cell>
        </row>
        <row r="59">
          <cell r="C59" t="str">
            <v>Net investment in short term investments</v>
          </cell>
          <cell r="E59">
            <v>0</v>
          </cell>
        </row>
        <row r="80">
          <cell r="C80" t="str">
            <v>Drawdown of borrowings</v>
          </cell>
          <cell r="E80">
            <v>137628</v>
          </cell>
        </row>
        <row r="81">
          <cell r="C81" t="str">
            <v>Drawdown of Islamic Medium Term Notes</v>
          </cell>
          <cell r="E81">
            <v>0</v>
          </cell>
        </row>
        <row r="82">
          <cell r="C82" t="str">
            <v xml:space="preserve">Drawdown of  Islamic Medium Term Notes ("IMTN") </v>
          </cell>
          <cell r="E82">
            <v>0</v>
          </cell>
        </row>
        <row r="83">
          <cell r="C83" t="str">
            <v>Subscription of shares by non-controlling shareholder in a subsidiary</v>
          </cell>
          <cell r="E83">
            <v>0</v>
          </cell>
        </row>
        <row r="84">
          <cell r="C84" t="str">
            <v>Repayment from joint ventures</v>
          </cell>
          <cell r="E84">
            <v>0</v>
          </cell>
        </row>
        <row r="85">
          <cell r="C85" t="str">
            <v>Repayment from immediate holding company</v>
          </cell>
          <cell r="E85">
            <v>0</v>
          </cell>
        </row>
        <row r="86">
          <cell r="C86" t="str">
            <v>Advance to joint ventures</v>
          </cell>
          <cell r="E86">
            <v>0</v>
          </cell>
        </row>
        <row r="87">
          <cell r="C87" t="str">
            <v>Advance to a joint venture</v>
          </cell>
          <cell r="E87"/>
        </row>
        <row r="88">
          <cell r="C88" t="str">
            <v>Repayment of borrowings</v>
          </cell>
          <cell r="E88">
            <v>-95996</v>
          </cell>
        </row>
        <row r="89">
          <cell r="C89" t="str">
            <v>Repayment of Islamic Medium Term Notes</v>
          </cell>
          <cell r="E89">
            <v>0</v>
          </cell>
        </row>
        <row r="90">
          <cell r="C90" t="str">
            <v>Repayment of loan from immediate holding company</v>
          </cell>
          <cell r="E90">
            <v>-55554</v>
          </cell>
        </row>
        <row r="91">
          <cell r="C91" t="str">
            <v>Repayment of lease liabilities</v>
          </cell>
          <cell r="E91">
            <v>-1067</v>
          </cell>
        </row>
        <row r="92">
          <cell r="C92" t="str">
            <v>Dividend paid</v>
          </cell>
          <cell r="E92">
            <v>0</v>
          </cell>
        </row>
        <row r="93">
          <cell r="C93" t="str">
            <v>Interest paid</v>
          </cell>
          <cell r="E93">
            <v>-14402</v>
          </cell>
        </row>
        <row r="97">
          <cell r="B97" t="str">
            <v>Effects of exchange rate changes</v>
          </cell>
          <cell r="E97">
            <v>-52600</v>
          </cell>
        </row>
        <row r="98">
          <cell r="E98"/>
        </row>
        <row r="99">
          <cell r="B99" t="str">
            <v>Net decrease in cash and cash equivalents</v>
          </cell>
          <cell r="C99"/>
          <cell r="E99">
            <v>-196146</v>
          </cell>
        </row>
        <row r="100">
          <cell r="B100" t="str">
            <v>Cash and cash equivalents as at beginning of financial period</v>
          </cell>
          <cell r="C100"/>
          <cell r="E100">
            <v>1056733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CF"/>
      <sheetName val="BSLookup"/>
      <sheetName val="CFLookup"/>
      <sheetName val="MFRSs (Haris)"/>
      <sheetName val="I"/>
      <sheetName val="II"/>
      <sheetName val="III"/>
      <sheetName val="IV(SOCIE)"/>
      <sheetName val="V(note 1-7)"/>
      <sheetName val="V(note 8-14)"/>
      <sheetName val="V(note 15 CP)"/>
      <sheetName val="V(note 16)"/>
      <sheetName val="V(note 17-18)"/>
      <sheetName val="V(note 19-22)"/>
      <sheetName val="NOTE"/>
      <sheetName val="Adoption - HHSB &amp; MFRS 16"/>
      <sheetName val="Segmental"/>
      <sheetName val="Analysis"/>
      <sheetName val="sukuk"/>
      <sheetName val="Meg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C21" t="str">
            <v>Property, plant and equipment</v>
          </cell>
        </row>
      </sheetData>
      <sheetData sheetId="8">
        <row r="19">
          <cell r="C19" t="str">
            <v>Cash receipts from customers</v>
          </cell>
          <cell r="E19">
            <v>542836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37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-331946</v>
          </cell>
        </row>
        <row r="25">
          <cell r="C25" t="str">
            <v>Cash payments for land and development related costs</v>
          </cell>
          <cell r="E25">
            <v>-53874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-672</v>
          </cell>
        </row>
        <row r="29">
          <cell r="C29" t="str">
            <v>Cash payments to employees and for expenses</v>
          </cell>
          <cell r="E29">
            <v>-195974</v>
          </cell>
        </row>
        <row r="30">
          <cell r="C30" t="str">
            <v>Cash generated from/(used in) operations</v>
          </cell>
          <cell r="E30">
            <v>-39593</v>
          </cell>
        </row>
        <row r="31">
          <cell r="C31" t="str">
            <v>Net income tax paid</v>
          </cell>
          <cell r="E31">
            <v>-142696</v>
          </cell>
        </row>
        <row r="32">
          <cell r="C32" t="str">
            <v>Interest received</v>
          </cell>
          <cell r="E32">
            <v>4672</v>
          </cell>
        </row>
        <row r="36">
          <cell r="C36" t="str">
            <v>Dividend received from a joint venture</v>
          </cell>
          <cell r="E36">
            <v>500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4500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Purchase of property, plant and equipment</v>
          </cell>
          <cell r="E50">
            <v>-19262</v>
          </cell>
        </row>
        <row r="51">
          <cell r="C51" t="str">
            <v>Proceeds from disposal of investment property</v>
          </cell>
          <cell r="E51">
            <v>0</v>
          </cell>
        </row>
        <row r="52">
          <cell r="C52" t="str">
            <v>Acquisition of subsidiary, net of cash and cash equivalent acquired</v>
          </cell>
          <cell r="E52">
            <v>0</v>
          </cell>
        </row>
        <row r="53">
          <cell r="C53" t="str">
            <v>Advances to joint ventures</v>
          </cell>
          <cell r="E53">
            <v>-32784</v>
          </cell>
        </row>
        <row r="54">
          <cell r="C54" t="str">
            <v>Investment in joint ventures</v>
          </cell>
          <cell r="E54">
            <v>0</v>
          </cell>
        </row>
        <row r="55">
          <cell r="C55" t="str">
            <v>Business combination</v>
          </cell>
          <cell r="D55"/>
          <cell r="E55">
            <v>0</v>
          </cell>
        </row>
        <row r="56">
          <cell r="E56"/>
        </row>
        <row r="57">
          <cell r="C57" t="str">
            <v>Investment in joint ventures</v>
          </cell>
          <cell r="E57">
            <v>0</v>
          </cell>
        </row>
        <row r="58">
          <cell r="C58" t="str">
            <v>Deposit paid for land acquisition</v>
          </cell>
          <cell r="E58">
            <v>-18808</v>
          </cell>
        </row>
        <row r="59">
          <cell r="C59" t="str">
            <v>Net investment in short term investments</v>
          </cell>
          <cell r="E59">
            <v>-596000</v>
          </cell>
        </row>
        <row r="80">
          <cell r="C80" t="str">
            <v>Drawdown of borrowings</v>
          </cell>
          <cell r="E80">
            <v>315505</v>
          </cell>
        </row>
        <row r="81">
          <cell r="C81" t="str">
            <v>Drawdown of Islamic Medium Term Notes</v>
          </cell>
          <cell r="E81">
            <v>855000</v>
          </cell>
        </row>
        <row r="82">
          <cell r="C82" t="str">
            <v xml:space="preserve">Drawdown of  Islamic Medium Term Notes ("IMTN") </v>
          </cell>
          <cell r="E82">
            <v>0</v>
          </cell>
        </row>
        <row r="83">
          <cell r="C83" t="str">
            <v>Subscription of shares by non-controlling shareholder in a subsidiary</v>
          </cell>
          <cell r="E83">
            <v>0</v>
          </cell>
        </row>
        <row r="84">
          <cell r="C84" t="str">
            <v>Repayment from joint ventures</v>
          </cell>
          <cell r="E84">
            <v>0</v>
          </cell>
        </row>
        <row r="85">
          <cell r="C85" t="str">
            <v>Repayment from immediate holding company</v>
          </cell>
          <cell r="E85">
            <v>0</v>
          </cell>
        </row>
        <row r="86">
          <cell r="C86" t="str">
            <v>Advance to joint ventures</v>
          </cell>
          <cell r="E86">
            <v>0</v>
          </cell>
        </row>
        <row r="87">
          <cell r="C87" t="str">
            <v>Redemption of Redeemable Convertible Preference Shares ("RCPS")</v>
          </cell>
          <cell r="E87">
            <v>-150000</v>
          </cell>
        </row>
        <row r="88">
          <cell r="C88" t="str">
            <v>Repayment of borrowings</v>
          </cell>
          <cell r="E88">
            <v>-168870</v>
          </cell>
        </row>
        <row r="89">
          <cell r="C89" t="str">
            <v>Repayment of Islamic Medium Term Notes</v>
          </cell>
          <cell r="E89">
            <v>-150000</v>
          </cell>
        </row>
        <row r="90">
          <cell r="C90" t="str">
            <v>Repayment of loan from immediate holding company</v>
          </cell>
          <cell r="E90">
            <v>-55555</v>
          </cell>
        </row>
        <row r="91">
          <cell r="C91" t="str">
            <v>Repayment of lease liabilities</v>
          </cell>
          <cell r="E91">
            <v>-1972</v>
          </cell>
        </row>
        <row r="92">
          <cell r="C92" t="str">
            <v>Dividend paid</v>
          </cell>
          <cell r="E92">
            <v>0</v>
          </cell>
        </row>
        <row r="93">
          <cell r="C93" t="str">
            <v>Interest paid</v>
          </cell>
          <cell r="E93">
            <v>-82418</v>
          </cell>
        </row>
        <row r="97">
          <cell r="B97" t="str">
            <v>Effects of exchange rate changes</v>
          </cell>
          <cell r="E97">
            <v>4101</v>
          </cell>
        </row>
        <row r="98">
          <cell r="E98"/>
        </row>
        <row r="99">
          <cell r="B99" t="str">
            <v>Net decrease in cash and cash equivalents</v>
          </cell>
          <cell r="C99"/>
          <cell r="E99">
            <v>-273680</v>
          </cell>
        </row>
        <row r="100">
          <cell r="B100" t="str">
            <v>Cash and cash equivalents as at beginning of financial period</v>
          </cell>
          <cell r="C100"/>
          <cell r="E100">
            <v>1056733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"/>
      <sheetName val="CFLookup"/>
      <sheetName val="BSLookup"/>
      <sheetName val="I"/>
      <sheetName val="II"/>
      <sheetName val="III"/>
      <sheetName val="BS"/>
      <sheetName val="CF"/>
      <sheetName val="IV(SOCIE)"/>
      <sheetName val="V(note 1-7)"/>
      <sheetName val="V(note 8-14)"/>
      <sheetName val="V(note 15 CP)"/>
      <sheetName val="V(note 16)"/>
      <sheetName val="V(note 17-18)"/>
      <sheetName val="V(note 19-22)"/>
      <sheetName val="NOTE"/>
      <sheetName val="Adoption - HHSB &amp; MFRS 16"/>
      <sheetName val="Segmental"/>
      <sheetName val="Analysis"/>
      <sheetName val="sukuk"/>
      <sheetName val="Mega"/>
    </sheetNames>
    <sheetDataSet>
      <sheetData sheetId="0"/>
      <sheetData sheetId="1"/>
      <sheetData sheetId="2"/>
      <sheetData sheetId="3"/>
      <sheetData sheetId="4">
        <row r="21">
          <cell r="C21" t="str">
            <v>Property, plant and equipment</v>
          </cell>
        </row>
      </sheetData>
      <sheetData sheetId="5">
        <row r="19">
          <cell r="C19" t="str">
            <v>Cash receipts from customers</v>
          </cell>
          <cell r="E19">
            <v>725386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2046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-442434</v>
          </cell>
        </row>
        <row r="25">
          <cell r="C25" t="str">
            <v>Cash payments for land and development related costs</v>
          </cell>
          <cell r="E25">
            <v>-177464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-9438</v>
          </cell>
        </row>
        <row r="29">
          <cell r="C29" t="str">
            <v>Cash payments to employees and for expenses</v>
          </cell>
          <cell r="E29">
            <v>-259652</v>
          </cell>
        </row>
        <row r="30">
          <cell r="C30" t="str">
            <v>Cash generated from/(used in) operations</v>
          </cell>
          <cell r="E30">
            <v>-161556</v>
          </cell>
        </row>
        <row r="31">
          <cell r="C31" t="str">
            <v>Net income tax paid</v>
          </cell>
          <cell r="E31">
            <v>-139177</v>
          </cell>
        </row>
        <row r="32">
          <cell r="C32" t="str">
            <v>Interest received</v>
          </cell>
          <cell r="E32">
            <v>8568</v>
          </cell>
        </row>
        <row r="36">
          <cell r="C36" t="str">
            <v>Dividend received from a joint venture</v>
          </cell>
          <cell r="E36">
            <v>500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4500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Purchase of property, plant and equipment</v>
          </cell>
          <cell r="E50">
            <v>-36332</v>
          </cell>
        </row>
        <row r="51">
          <cell r="C51" t="str">
            <v>Proceeds from disposal of investment property</v>
          </cell>
          <cell r="E51">
            <v>0</v>
          </cell>
        </row>
        <row r="52">
          <cell r="C52" t="str">
            <v>Acquisition of subsidiary, net of cash and cash equivalent acquired</v>
          </cell>
          <cell r="E52">
            <v>0</v>
          </cell>
        </row>
        <row r="53">
          <cell r="C53" t="str">
            <v>Advances to joint ventures</v>
          </cell>
          <cell r="E53">
            <v>-36827</v>
          </cell>
        </row>
        <row r="54">
          <cell r="C54" t="str">
            <v>Investment in joint ventures</v>
          </cell>
          <cell r="E54">
            <v>0</v>
          </cell>
        </row>
        <row r="55">
          <cell r="C55" t="str">
            <v>Business combination</v>
          </cell>
          <cell r="D55"/>
          <cell r="E55">
            <v>0</v>
          </cell>
        </row>
        <row r="56">
          <cell r="E56"/>
        </row>
        <row r="57">
          <cell r="C57" t="str">
            <v>Investment in joint ventures</v>
          </cell>
          <cell r="E57">
            <v>0</v>
          </cell>
        </row>
        <row r="58">
          <cell r="C58" t="str">
            <v>Investment in land held for property development</v>
          </cell>
          <cell r="E58">
            <v>-27308</v>
          </cell>
        </row>
        <row r="59">
          <cell r="C59" t="str">
            <v>Investment in long term investment</v>
          </cell>
          <cell r="E59">
            <v>-5000</v>
          </cell>
        </row>
        <row r="60">
          <cell r="C60" t="str">
            <v>Proceeds from disposal of short term investment</v>
          </cell>
          <cell r="E60">
            <v>-460000</v>
          </cell>
        </row>
        <row r="81">
          <cell r="C81" t="str">
            <v>Drawdown of borrowings</v>
          </cell>
          <cell r="E81">
            <v>401456</v>
          </cell>
        </row>
        <row r="82">
          <cell r="C82" t="str">
            <v>Drawdown of Islamic Medium Term Notes</v>
          </cell>
          <cell r="E82">
            <v>1205000</v>
          </cell>
        </row>
        <row r="83">
          <cell r="C83" t="str">
            <v xml:space="preserve">Drawdown of  Islamic Medium Term Notes ("IMTN") </v>
          </cell>
          <cell r="E83">
            <v>0</v>
          </cell>
        </row>
        <row r="84">
          <cell r="C84" t="str">
            <v>Subscription of shares by non-controlling shareholder in a subsidiary</v>
          </cell>
          <cell r="E84">
            <v>0</v>
          </cell>
        </row>
        <row r="85">
          <cell r="C85" t="str">
            <v>Repayment from joint ventures</v>
          </cell>
          <cell r="E85">
            <v>0</v>
          </cell>
        </row>
        <row r="86">
          <cell r="C86" t="str">
            <v>Repayment from immediate holding company</v>
          </cell>
          <cell r="E86">
            <v>0</v>
          </cell>
        </row>
        <row r="87">
          <cell r="C87" t="str">
            <v>Advance to joint ventures</v>
          </cell>
          <cell r="E87">
            <v>0</v>
          </cell>
        </row>
        <row r="88">
          <cell r="C88" t="str">
            <v>Advance from a corporate shareholder</v>
          </cell>
          <cell r="E88">
            <v>2000</v>
          </cell>
        </row>
        <row r="89">
          <cell r="C89" t="str">
            <v xml:space="preserve">Redemption of Redeemable Convertible Preference </v>
          </cell>
          <cell r="E89"/>
        </row>
        <row r="90">
          <cell r="C90" t="str">
            <v>Redemption of Redeemable Convertible Preference Shares ("RCPS")</v>
          </cell>
          <cell r="E90">
            <v>-150000</v>
          </cell>
        </row>
        <row r="91">
          <cell r="C91" t="str">
            <v>Repayment of borrowings</v>
          </cell>
          <cell r="E91">
            <v>-323641</v>
          </cell>
        </row>
        <row r="92">
          <cell r="C92" t="str">
            <v>Repayment of Islamic Medium Term Notes</v>
          </cell>
          <cell r="E92">
            <v>-150000</v>
          </cell>
        </row>
        <row r="93">
          <cell r="C93" t="str">
            <v>Repayment of loan from immediate holding company</v>
          </cell>
          <cell r="E93">
            <v>-55555</v>
          </cell>
        </row>
        <row r="94">
          <cell r="C94" t="str">
            <v>Repayment of lease liabilities</v>
          </cell>
          <cell r="E94">
            <v>-2981</v>
          </cell>
        </row>
        <row r="95">
          <cell r="C95" t="str">
            <v>Dividend paid</v>
          </cell>
          <cell r="E95">
            <v>0</v>
          </cell>
        </row>
        <row r="96">
          <cell r="C96" t="str">
            <v>Interest paid</v>
          </cell>
          <cell r="E96">
            <v>-95575</v>
          </cell>
        </row>
        <row r="100">
          <cell r="B100" t="str">
            <v>Effects of exchange rate changes</v>
          </cell>
          <cell r="E100">
            <v>7089</v>
          </cell>
        </row>
        <row r="101">
          <cell r="E101"/>
        </row>
        <row r="102">
          <cell r="B102" t="str">
            <v>Net decrease in cash and cash equivalents</v>
          </cell>
          <cell r="C102"/>
          <cell r="E102">
            <v>-14839</v>
          </cell>
        </row>
        <row r="103">
          <cell r="B103" t="str">
            <v>Cash and cash equivalents as at beginning of financial period</v>
          </cell>
          <cell r="C103"/>
          <cell r="E103">
            <v>1056733</v>
          </cell>
        </row>
        <row r="104">
          <cell r="B104" t="str">
            <v>Cash and cash equivalents as at end of financial period</v>
          </cell>
          <cell r="C104"/>
          <cell r="D104" t="str">
            <v>(a)</v>
          </cell>
          <cell r="E104">
            <v>1041894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BSLookup"/>
      <sheetName val="BS"/>
      <sheetName val="CF"/>
      <sheetName val="I"/>
      <sheetName val="II"/>
      <sheetName val="III"/>
      <sheetName val="IV(SOCIE)"/>
      <sheetName val="V(note 1-7)"/>
      <sheetName val="V(note 8-14)"/>
      <sheetName val="V(note 15 CP)"/>
      <sheetName val="V(note 16)"/>
      <sheetName val="V(note 17-18)"/>
      <sheetName val="V(note 19-22)"/>
      <sheetName val="NOTE"/>
      <sheetName val="Adoption - HHSB &amp; MFRS 16"/>
      <sheetName val="Segmental"/>
      <sheetName val="Analysis"/>
      <sheetName val="sukuk"/>
      <sheetName val="Mega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C21" t="str">
            <v>Property, plant and equipment</v>
          </cell>
        </row>
      </sheetData>
      <sheetData sheetId="7">
        <row r="19">
          <cell r="C19" t="str">
            <v>Cash receipts from customers</v>
          </cell>
          <cell r="E19">
            <v>1279863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2561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-555073</v>
          </cell>
        </row>
        <row r="25">
          <cell r="C25" t="str">
            <v>Cash payments for land and development related costs</v>
          </cell>
          <cell r="E25">
            <v>-302905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-13493</v>
          </cell>
        </row>
        <row r="29">
          <cell r="C29" t="str">
            <v>Cash payments to employees and for expenses</v>
          </cell>
          <cell r="E29">
            <v>-324665</v>
          </cell>
        </row>
        <row r="30">
          <cell r="C30" t="str">
            <v>Cash generated from/(used in) operations</v>
          </cell>
          <cell r="E30">
            <v>86288</v>
          </cell>
        </row>
        <row r="31">
          <cell r="C31" t="str">
            <v>Net income tax paid</v>
          </cell>
          <cell r="E31">
            <v>-187672</v>
          </cell>
        </row>
        <row r="32">
          <cell r="C32" t="str">
            <v>Interest received</v>
          </cell>
          <cell r="E32">
            <v>11603</v>
          </cell>
        </row>
        <row r="33">
          <cell r="C33" t="str">
            <v>Net cash (used in)/generated from operating activities</v>
          </cell>
          <cell r="E33">
            <v>-89781</v>
          </cell>
        </row>
        <row r="36">
          <cell r="C36" t="str">
            <v>Dividend received from a joint venture</v>
          </cell>
          <cell r="E36">
            <v>500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4500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Deposit received for partial disposal of subsidiary</v>
          </cell>
          <cell r="E50">
            <v>12785</v>
          </cell>
        </row>
        <row r="51">
          <cell r="C51" t="str">
            <v>Purchase of property, plant and equipment</v>
          </cell>
          <cell r="E51">
            <v>-16820</v>
          </cell>
        </row>
        <row r="52">
          <cell r="C52" t="str">
            <v>Purchase of investment property</v>
          </cell>
          <cell r="E52">
            <v>-18400</v>
          </cell>
        </row>
        <row r="53">
          <cell r="C53" t="str">
            <v>Proceeds from disposals of an investment property</v>
          </cell>
          <cell r="E53">
            <v>0</v>
          </cell>
        </row>
        <row r="54">
          <cell r="C54" t="str">
            <v>Advances to joint ventures</v>
          </cell>
          <cell r="E54">
            <v>-36824</v>
          </cell>
        </row>
        <row r="55">
          <cell r="C55" t="str">
            <v>Investment in joint ventures</v>
          </cell>
          <cell r="E55">
            <v>0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E57"/>
        </row>
        <row r="58">
          <cell r="C58" t="str">
            <v>Investment in joint ventures</v>
          </cell>
          <cell r="E58">
            <v>0</v>
          </cell>
        </row>
        <row r="59">
          <cell r="C59" t="str">
            <v>Investment in land held for property development</v>
          </cell>
          <cell r="E59">
            <v>-28300</v>
          </cell>
        </row>
        <row r="60">
          <cell r="C60" t="str">
            <v>Investment in long term investment</v>
          </cell>
          <cell r="E60">
            <v>-5000</v>
          </cell>
        </row>
        <row r="61">
          <cell r="C61" t="str">
            <v>Net investment in short term investments</v>
          </cell>
          <cell r="E61">
            <v>-209421</v>
          </cell>
        </row>
        <row r="62">
          <cell r="C62" t="str">
            <v>Deposit paid for subscription of shares</v>
          </cell>
          <cell r="E62">
            <v>0</v>
          </cell>
        </row>
        <row r="63">
          <cell r="C63" t="str">
            <v>Net cash used in investing activities</v>
          </cell>
          <cell r="E63">
            <v>-296980</v>
          </cell>
        </row>
        <row r="82">
          <cell r="C82" t="str">
            <v>Drawdown of borrowings</v>
          </cell>
          <cell r="E82">
            <v>537784</v>
          </cell>
        </row>
        <row r="83">
          <cell r="C83" t="str">
            <v>Drawdown of Islamic Medium Term Notes</v>
          </cell>
          <cell r="E83">
            <v>1205000</v>
          </cell>
        </row>
        <row r="84">
          <cell r="C84" t="str">
            <v xml:space="preserve">Drawdown of  Islamic Medium Term Notes ("IMTN") </v>
          </cell>
          <cell r="E84">
            <v>0</v>
          </cell>
        </row>
        <row r="85">
          <cell r="C85" t="str">
            <v>Subscription of shares by non-controlling shareholder in a subsidiary</v>
          </cell>
          <cell r="E85">
            <v>0</v>
          </cell>
        </row>
        <row r="86">
          <cell r="C86" t="str">
            <v>Repayment from joint ventures</v>
          </cell>
          <cell r="E86">
            <v>0</v>
          </cell>
        </row>
        <row r="87">
          <cell r="C87" t="str">
            <v>Repayment from immediate holding company</v>
          </cell>
          <cell r="E87">
            <v>0</v>
          </cell>
        </row>
        <row r="88">
          <cell r="C88" t="str">
            <v>Advance to joint ventures</v>
          </cell>
          <cell r="E88">
            <v>0</v>
          </cell>
        </row>
        <row r="89">
          <cell r="C89" t="str">
            <v>Advance from a corporate shareholder</v>
          </cell>
          <cell r="E89">
            <v>2000</v>
          </cell>
        </row>
        <row r="90">
          <cell r="C90" t="str">
            <v xml:space="preserve">Redemption of Redeemable Convertible Preference </v>
          </cell>
          <cell r="E90"/>
        </row>
        <row r="91">
          <cell r="C91" t="str">
            <v>Redemption of Redeemable Convertible Preference Shares ("RCPS")</v>
          </cell>
          <cell r="E91">
            <v>-150000</v>
          </cell>
        </row>
        <row r="92">
          <cell r="C92" t="str">
            <v>Repayment of borrowings</v>
          </cell>
          <cell r="E92">
            <v>-435637</v>
          </cell>
        </row>
        <row r="93">
          <cell r="C93" t="str">
            <v>Repayment of Islamic Medium Term Notes</v>
          </cell>
          <cell r="E93">
            <v>-550000</v>
          </cell>
        </row>
        <row r="94">
          <cell r="C94" t="str">
            <v>Repayment of loan from immediate holding company</v>
          </cell>
          <cell r="E94">
            <v>-55555</v>
          </cell>
        </row>
        <row r="95">
          <cell r="C95" t="str">
            <v>Repayment of lease liabilities</v>
          </cell>
          <cell r="E95">
            <v>-3866</v>
          </cell>
        </row>
        <row r="96">
          <cell r="C96" t="str">
            <v>Dividend paid</v>
          </cell>
          <cell r="E96">
            <v>0</v>
          </cell>
        </row>
        <row r="97">
          <cell r="C97" t="str">
            <v>Interest paid</v>
          </cell>
          <cell r="E97">
            <v>-172855</v>
          </cell>
        </row>
        <row r="98">
          <cell r="C98" t="str">
            <v>Net cash generated from/(used in) financing activities</v>
          </cell>
          <cell r="E98">
            <v>376871</v>
          </cell>
        </row>
        <row r="101">
          <cell r="B101" t="str">
            <v>Effects of exchange rate changes</v>
          </cell>
          <cell r="E101">
            <v>33889</v>
          </cell>
        </row>
        <row r="102">
          <cell r="E102"/>
        </row>
        <row r="103">
          <cell r="B103" t="str">
            <v>Net increase/(decrease) in cash and cash equivalents</v>
          </cell>
          <cell r="C103"/>
          <cell r="E103">
            <v>23999</v>
          </cell>
        </row>
        <row r="104">
          <cell r="B104" t="str">
            <v>Cash and cash equivalents as at beginning of financial period</v>
          </cell>
          <cell r="C104"/>
          <cell r="E104">
            <v>1056733</v>
          </cell>
        </row>
        <row r="105">
          <cell r="B105" t="str">
            <v>Cash and cash equivalents as at end of financial year</v>
          </cell>
          <cell r="C105"/>
          <cell r="D105" t="str">
            <v>(a)</v>
          </cell>
          <cell r="E105">
            <v>1080732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BSLookup"/>
      <sheetName val="BS"/>
      <sheetName val="CF"/>
      <sheetName val="I"/>
      <sheetName val="II"/>
      <sheetName val="III"/>
      <sheetName val="IV(SOCIE)"/>
      <sheetName val="V(note 1-9)"/>
      <sheetName val="V(note 10-14)"/>
      <sheetName val="V(note 15 CP)"/>
      <sheetName val="V(note 16)"/>
      <sheetName val="V(note 17-18)"/>
      <sheetName val="V(note 19-22)"/>
      <sheetName val="Sheet1"/>
      <sheetName val="NOTE"/>
      <sheetName val="Adoption - HHSB &amp; MFRS 16"/>
      <sheetName val="Segmental"/>
      <sheetName val="Analysis"/>
      <sheetName val="sukuk"/>
      <sheetName val="Mega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C21" t="str">
            <v>Property, plant and equipment</v>
          </cell>
        </row>
      </sheetData>
      <sheetData sheetId="7">
        <row r="19">
          <cell r="C19" t="str">
            <v>Cash receipts from customers</v>
          </cell>
          <cell r="E19">
            <v>190062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99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-164460</v>
          </cell>
        </row>
        <row r="25">
          <cell r="C25" t="str">
            <v>Cash payments for land and development related costs</v>
          </cell>
          <cell r="E25">
            <v>-24451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0</v>
          </cell>
        </row>
        <row r="29">
          <cell r="C29" t="str">
            <v>Cash payments to employees and for expenses</v>
          </cell>
          <cell r="E29">
            <v>-58497</v>
          </cell>
        </row>
        <row r="30">
          <cell r="C30" t="str">
            <v>Cash generated from/(used in) operations</v>
          </cell>
          <cell r="E30">
            <v>-57247</v>
          </cell>
        </row>
        <row r="31">
          <cell r="C31" t="str">
            <v>Net income tax paid</v>
          </cell>
          <cell r="E31">
            <v>-6596</v>
          </cell>
        </row>
        <row r="32">
          <cell r="C32" t="str">
            <v>Interest received</v>
          </cell>
          <cell r="E32">
            <v>1016</v>
          </cell>
        </row>
        <row r="51">
          <cell r="C51" t="str">
            <v>Purchase of property, plant and equipment</v>
          </cell>
          <cell r="E51">
            <v>-3985</v>
          </cell>
        </row>
        <row r="52">
          <cell r="C52" t="str">
            <v>Purchase of investment property</v>
          </cell>
          <cell r="E52">
            <v>-3560</v>
          </cell>
        </row>
        <row r="53">
          <cell r="C53" t="str">
            <v>Proceeds from disposals of an investment property</v>
          </cell>
          <cell r="E53">
            <v>0</v>
          </cell>
        </row>
        <row r="54">
          <cell r="C54" t="str">
            <v>Advances to joint ventures</v>
          </cell>
          <cell r="E54">
            <v>-1000</v>
          </cell>
        </row>
        <row r="55">
          <cell r="C55" t="str">
            <v>Investment in joint ventures</v>
          </cell>
          <cell r="E55">
            <v>0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E57"/>
        </row>
        <row r="58">
          <cell r="C58" t="str">
            <v>Investment in joint ventures</v>
          </cell>
          <cell r="E58">
            <v>0</v>
          </cell>
        </row>
        <row r="59">
          <cell r="C59" t="str">
            <v>Investment in land held for property development</v>
          </cell>
          <cell r="E59">
            <v>-180155</v>
          </cell>
        </row>
        <row r="60">
          <cell r="C60" t="str">
            <v>Investment in long term investment</v>
          </cell>
          <cell r="E60">
            <v>0</v>
          </cell>
        </row>
        <row r="61">
          <cell r="C61" t="str">
            <v>Net investment in short term investments</v>
          </cell>
          <cell r="E61">
            <v>-273971</v>
          </cell>
        </row>
        <row r="82">
          <cell r="C82" t="str">
            <v>Drawdown of borrowings</v>
          </cell>
          <cell r="E82">
            <v>63110</v>
          </cell>
        </row>
        <row r="83">
          <cell r="C83" t="str">
            <v>Drawdown of Islamic Medium Term Notes</v>
          </cell>
          <cell r="E83">
            <v>400000</v>
          </cell>
        </row>
        <row r="84">
          <cell r="C84" t="str">
            <v xml:space="preserve">Drawdown of  Islamic Medium Term Notes ("IMTN") </v>
          </cell>
          <cell r="E84">
            <v>0</v>
          </cell>
        </row>
        <row r="85">
          <cell r="C85" t="str">
            <v>Subscription of shares by non-controlling shareholder in a subsidiary</v>
          </cell>
          <cell r="E85">
            <v>0</v>
          </cell>
        </row>
        <row r="86">
          <cell r="C86" t="str">
            <v>Repayment from joint ventures</v>
          </cell>
          <cell r="E86">
            <v>0</v>
          </cell>
        </row>
        <row r="87">
          <cell r="C87" t="str">
            <v>Repayment from immediate holding company</v>
          </cell>
          <cell r="E87">
            <v>0</v>
          </cell>
        </row>
        <row r="88">
          <cell r="C88" t="str">
            <v>Advance to joint ventures</v>
          </cell>
          <cell r="E88">
            <v>0</v>
          </cell>
        </row>
        <row r="89">
          <cell r="C89" t="str">
            <v>Advance from a corporate shareholder</v>
          </cell>
          <cell r="E89">
            <v>0</v>
          </cell>
        </row>
        <row r="90">
          <cell r="C90" t="str">
            <v xml:space="preserve">Redemption of Redeemable Convertible Preference </v>
          </cell>
          <cell r="E90"/>
        </row>
        <row r="91">
          <cell r="C91" t="str">
            <v xml:space="preserve">   Shares ("RCPS")</v>
          </cell>
          <cell r="E91">
            <v>0</v>
          </cell>
        </row>
        <row r="92">
          <cell r="C92" t="str">
            <v>Repayment of borrowings</v>
          </cell>
          <cell r="E92">
            <v>-48863</v>
          </cell>
        </row>
        <row r="93">
          <cell r="C93" t="str">
            <v>Repayment of Islamic Medium Term Notes</v>
          </cell>
          <cell r="E93">
            <v>0</v>
          </cell>
        </row>
        <row r="94">
          <cell r="C94" t="str">
            <v>Repayment of loan from immediate holding company</v>
          </cell>
          <cell r="E94">
            <v>0</v>
          </cell>
        </row>
        <row r="95">
          <cell r="C95" t="str">
            <v>Repayment of lease liabilities</v>
          </cell>
          <cell r="E95">
            <v>-908</v>
          </cell>
        </row>
        <row r="96">
          <cell r="C96" t="str">
            <v>Dividend paid</v>
          </cell>
          <cell r="E96">
            <v>0</v>
          </cell>
        </row>
        <row r="97">
          <cell r="C97" t="str">
            <v>Interest paid</v>
          </cell>
          <cell r="E97">
            <v>-19633</v>
          </cell>
        </row>
        <row r="101">
          <cell r="B101" t="str">
            <v>Effects of exchange rate changes</v>
          </cell>
          <cell r="E101">
            <v>14088</v>
          </cell>
        </row>
        <row r="102">
          <cell r="E102"/>
        </row>
        <row r="103">
          <cell r="B103" t="str">
            <v>Net decrease in cash and cash equivalents</v>
          </cell>
          <cell r="C103"/>
          <cell r="E103">
            <v>-117704</v>
          </cell>
        </row>
        <row r="104">
          <cell r="B104" t="str">
            <v>Cash and cash equivalents as at beginning of financial period</v>
          </cell>
          <cell r="C104"/>
          <cell r="E104">
            <v>1080732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CFLookup"/>
      <sheetName val="Luca PL"/>
      <sheetName val="Luca BS"/>
      <sheetName val="BSLookup"/>
      <sheetName val="BS"/>
      <sheetName val="CF"/>
      <sheetName val="I"/>
      <sheetName val="II"/>
      <sheetName val="III"/>
      <sheetName val="IV(SOCIE)"/>
      <sheetName val="V(note 1-9)"/>
      <sheetName val="V(note 10-14)"/>
      <sheetName val="V(note 15 CP)"/>
      <sheetName val="V(note 16)"/>
      <sheetName val="V(note 17-18)"/>
      <sheetName val="V(note 19-22)"/>
      <sheetName val="CF comp"/>
      <sheetName val="GPM"/>
      <sheetName val="GP"/>
      <sheetName val="Segmental"/>
      <sheetName val="Analysis"/>
      <sheetName val="suk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C21" t="str">
            <v>Property, plant and equipment</v>
          </cell>
        </row>
      </sheetData>
      <sheetData sheetId="9">
        <row r="19">
          <cell r="C19" t="str">
            <v>Cash receipts from customers</v>
          </cell>
          <cell r="E19">
            <v>439468</v>
          </cell>
        </row>
        <row r="20">
          <cell r="C20" t="str">
            <v>Receipts from immediate holding company</v>
          </cell>
          <cell r="E20">
            <v>0</v>
          </cell>
        </row>
        <row r="21">
          <cell r="C21" t="str">
            <v>Cash receipts from related parties</v>
          </cell>
          <cell r="E21">
            <v>99</v>
          </cell>
        </row>
        <row r="22">
          <cell r="C22" t="str">
            <v>Cash receipts for refund of deposits</v>
          </cell>
          <cell r="E22">
            <v>0</v>
          </cell>
        </row>
        <row r="23">
          <cell r="C23" t="str">
            <v>Receipts from joint venture</v>
          </cell>
          <cell r="E23">
            <v>0</v>
          </cell>
        </row>
        <row r="24">
          <cell r="C24" t="str">
            <v>Cash payments to contractors</v>
          </cell>
          <cell r="E24">
            <v>-294710</v>
          </cell>
        </row>
        <row r="25">
          <cell r="C25" t="str">
            <v>Cash payments for land and development related costs</v>
          </cell>
          <cell r="E25">
            <v>-39565</v>
          </cell>
        </row>
        <row r="26">
          <cell r="C26" t="str">
            <v>Cash payments for land and development related costs</v>
          </cell>
          <cell r="E26">
            <v>0</v>
          </cell>
        </row>
        <row r="27">
          <cell r="C27" t="str">
            <v>Cash payments for land acquisition deposit</v>
          </cell>
          <cell r="D27"/>
          <cell r="E27">
            <v>0</v>
          </cell>
        </row>
        <row r="28">
          <cell r="C28" t="str">
            <v>Cash payments to related parties</v>
          </cell>
          <cell r="E28">
            <v>-12239</v>
          </cell>
        </row>
        <row r="29">
          <cell r="C29" t="str">
            <v>Cash payments to employees and for expenses</v>
          </cell>
          <cell r="E29">
            <v>-110265</v>
          </cell>
        </row>
        <row r="30">
          <cell r="C30" t="str">
            <v>Cash generated from/(used in) operations</v>
          </cell>
          <cell r="E30">
            <v>-17212</v>
          </cell>
        </row>
        <row r="31">
          <cell r="C31" t="str">
            <v>Net income tax paid</v>
          </cell>
          <cell r="E31">
            <v>-26245</v>
          </cell>
        </row>
        <row r="32">
          <cell r="C32" t="str">
            <v>Interest received</v>
          </cell>
          <cell r="E32">
            <v>1016</v>
          </cell>
        </row>
        <row r="36">
          <cell r="C36" t="str">
            <v>Dividend received from a joint venture</v>
          </cell>
          <cell r="E36">
            <v>1000</v>
          </cell>
        </row>
        <row r="37">
          <cell r="C37" t="str">
            <v>Dividend received from an associate</v>
          </cell>
          <cell r="E37">
            <v>0</v>
          </cell>
        </row>
        <row r="38">
          <cell r="C38" t="str">
            <v>Proceeds from disposal of:</v>
          </cell>
          <cell r="E38"/>
        </row>
        <row r="39">
          <cell r="C39" t="str">
            <v xml:space="preserve">   - property, plant and equipment</v>
          </cell>
          <cell r="E39">
            <v>0</v>
          </cell>
        </row>
        <row r="40">
          <cell r="C40" t="str">
            <v xml:space="preserve">   - investment properties</v>
          </cell>
          <cell r="E40">
            <v>0</v>
          </cell>
        </row>
        <row r="41">
          <cell r="C41" t="str">
            <v xml:space="preserve">   - short term investment</v>
          </cell>
          <cell r="E41"/>
        </row>
        <row r="42">
          <cell r="C42" t="str">
            <v xml:space="preserve">   - an associate</v>
          </cell>
          <cell r="D42"/>
          <cell r="E42">
            <v>0</v>
          </cell>
        </row>
        <row r="43">
          <cell r="C43" t="str">
            <v xml:space="preserve">   - an available-for-sale investment</v>
          </cell>
          <cell r="E43">
            <v>0</v>
          </cell>
        </row>
        <row r="44">
          <cell r="C44" t="str">
            <v>Capital distribution from an associate under liquidation</v>
          </cell>
          <cell r="E44">
            <v>0</v>
          </cell>
        </row>
        <row r="45">
          <cell r="C45" t="str">
            <v>Repayment from a joint venture</v>
          </cell>
          <cell r="E45">
            <v>0</v>
          </cell>
        </row>
        <row r="46">
          <cell r="C46" t="str">
            <v>Advance from a related party</v>
          </cell>
          <cell r="E46">
            <v>0</v>
          </cell>
        </row>
        <row r="47">
          <cell r="C47" t="str">
            <v>Refund of shares subscription deposit</v>
          </cell>
          <cell r="E47">
            <v>0</v>
          </cell>
        </row>
        <row r="48">
          <cell r="C48" t="str">
            <v>Proceeds from disposal of</v>
          </cell>
          <cell r="E48"/>
        </row>
        <row r="49">
          <cell r="C49" t="str">
            <v>Deposit refund for development rights of a land</v>
          </cell>
          <cell r="E49">
            <v>0</v>
          </cell>
        </row>
        <row r="50">
          <cell r="C50" t="str">
            <v>Net proceeds from partial disposal of a subsidiary</v>
          </cell>
          <cell r="D50" t="str">
            <v>11(b)</v>
          </cell>
          <cell r="E50">
            <v>148026</v>
          </cell>
        </row>
        <row r="51">
          <cell r="C51" t="str">
            <v>Purchase of property, plant and equipment</v>
          </cell>
          <cell r="E51">
            <v>-7764</v>
          </cell>
        </row>
        <row r="52">
          <cell r="C52" t="str">
            <v>Purchase of investment property</v>
          </cell>
          <cell r="E52">
            <v>-4398</v>
          </cell>
        </row>
        <row r="53">
          <cell r="C53" t="str">
            <v>Proceeds from disposals of an investment property</v>
          </cell>
          <cell r="E53">
            <v>0</v>
          </cell>
        </row>
        <row r="54">
          <cell r="C54" t="str">
            <v>Advances to joint ventures</v>
          </cell>
          <cell r="E54">
            <v>-1000</v>
          </cell>
        </row>
        <row r="55">
          <cell r="C55" t="str">
            <v>Investment in joint ventures</v>
          </cell>
          <cell r="E55">
            <v>0</v>
          </cell>
        </row>
        <row r="56">
          <cell r="C56" t="str">
            <v>Business combination</v>
          </cell>
          <cell r="D56"/>
          <cell r="E56">
            <v>0</v>
          </cell>
        </row>
        <row r="57">
          <cell r="E57"/>
        </row>
        <row r="58">
          <cell r="C58" t="str">
            <v>Investment in joint ventures</v>
          </cell>
          <cell r="E58">
            <v>0</v>
          </cell>
        </row>
        <row r="59">
          <cell r="C59" t="str">
            <v>Investment in land held for property development</v>
          </cell>
          <cell r="E59">
            <v>-198918</v>
          </cell>
        </row>
        <row r="60">
          <cell r="C60" t="str">
            <v>Investment in long term investment</v>
          </cell>
          <cell r="E60">
            <v>0</v>
          </cell>
        </row>
        <row r="61">
          <cell r="C61" t="str">
            <v>Net investment in short term investments</v>
          </cell>
          <cell r="E61">
            <v>65029</v>
          </cell>
        </row>
        <row r="82">
          <cell r="C82" t="str">
            <v>Drawdown of borrowings</v>
          </cell>
          <cell r="E82">
            <v>74822</v>
          </cell>
        </row>
        <row r="83">
          <cell r="C83" t="str">
            <v>Drawdown of Islamic Medium Term Notes</v>
          </cell>
          <cell r="E83">
            <v>700000</v>
          </cell>
        </row>
        <row r="84">
          <cell r="C84" t="str">
            <v xml:space="preserve">Drawdown of  Islamic Medium Term Notes ("IMTN") </v>
          </cell>
          <cell r="E84">
            <v>0</v>
          </cell>
        </row>
        <row r="85">
          <cell r="C85" t="str">
            <v>Subscription of shares by non-controlling shareholder in a subsidiary</v>
          </cell>
          <cell r="E85">
            <v>0</v>
          </cell>
        </row>
        <row r="86">
          <cell r="C86" t="str">
            <v>Repayment from joint ventures</v>
          </cell>
          <cell r="E86">
            <v>0</v>
          </cell>
        </row>
        <row r="87">
          <cell r="C87" t="str">
            <v>Repayment from immediate holding company</v>
          </cell>
          <cell r="E87">
            <v>0</v>
          </cell>
        </row>
        <row r="88">
          <cell r="C88" t="str">
            <v>Advance to joint ventures</v>
          </cell>
          <cell r="E88">
            <v>0</v>
          </cell>
        </row>
        <row r="89">
          <cell r="C89" t="str">
            <v>Advance from a corporate shareholder</v>
          </cell>
          <cell r="E89">
            <v>0</v>
          </cell>
        </row>
        <row r="90">
          <cell r="C90" t="str">
            <v>Redemption of Redeemable Convertible Preference Shares ("RCPS")</v>
          </cell>
          <cell r="E90">
            <v>0</v>
          </cell>
        </row>
        <row r="91">
          <cell r="E91"/>
        </row>
        <row r="92">
          <cell r="C92" t="str">
            <v>Repayment of borrowings</v>
          </cell>
          <cell r="E92">
            <v>-161257</v>
          </cell>
        </row>
        <row r="93">
          <cell r="C93" t="str">
            <v>Repayment of Islamic Medium Term Notes</v>
          </cell>
          <cell r="E93">
            <v>-435000</v>
          </cell>
        </row>
        <row r="94">
          <cell r="C94" t="str">
            <v>Repayment of loan from immediate holding company</v>
          </cell>
          <cell r="E94">
            <v>0</v>
          </cell>
        </row>
        <row r="95">
          <cell r="C95" t="str">
            <v>Repayment of lease liabilities</v>
          </cell>
          <cell r="E95">
            <v>-1250</v>
          </cell>
        </row>
        <row r="96">
          <cell r="C96" t="str">
            <v>Dividend paid</v>
          </cell>
          <cell r="E96">
            <v>0</v>
          </cell>
        </row>
        <row r="97">
          <cell r="C97" t="str">
            <v>Interest paid</v>
          </cell>
          <cell r="E97">
            <v>-87195</v>
          </cell>
        </row>
        <row r="101">
          <cell r="B101" t="str">
            <v>Effects of exchange rate changes</v>
          </cell>
          <cell r="E101">
            <v>17019</v>
          </cell>
        </row>
        <row r="102">
          <cell r="E102"/>
        </row>
        <row r="103">
          <cell r="B103" t="str">
            <v>Net increase/(decrease) in cash and cash equivalents</v>
          </cell>
          <cell r="C103"/>
          <cell r="E103">
            <v>66673</v>
          </cell>
        </row>
        <row r="104">
          <cell r="B104" t="str">
            <v>Cash and cash equivalents as at beginning of financial period</v>
          </cell>
          <cell r="C104"/>
          <cell r="E104">
            <v>1080732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3F3F-0B8A-4C18-BD2F-352C745816CA}">
  <dimension ref="A1:AT55"/>
  <sheetViews>
    <sheetView tabSelected="1" zoomScale="110" zoomScaleNormal="11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C14" sqref="AC14"/>
    </sheetView>
  </sheetViews>
  <sheetFormatPr defaultColWidth="8.77734375" defaultRowHeight="13.2" x14ac:dyDescent="0.25"/>
  <cols>
    <col min="1" max="1" width="1.21875" style="146" customWidth="1"/>
    <col min="2" max="2" width="50.33203125" style="146" customWidth="1"/>
    <col min="3" max="3" width="14.21875" style="146" bestFit="1" customWidth="1"/>
    <col min="4" max="4" width="12" style="146" bestFit="1" customWidth="1"/>
    <col min="5" max="5" width="10.44140625" style="146" bestFit="1" customWidth="1"/>
    <col min="6" max="7" width="12" style="146" bestFit="1" customWidth="1"/>
    <col min="8" max="8" width="4.77734375" style="146" customWidth="1"/>
    <col min="9" max="12" width="10.44140625" style="146" bestFit="1" customWidth="1"/>
    <col min="13" max="13" width="12" style="146" bestFit="1" customWidth="1"/>
    <col min="14" max="14" width="4.33203125" style="155" customWidth="1"/>
    <col min="15" max="18" width="10.44140625" style="146" bestFit="1" customWidth="1"/>
    <col min="19" max="19" width="12" style="146" bestFit="1" customWidth="1"/>
    <col min="20" max="20" width="4.6640625" style="146" customWidth="1"/>
    <col min="21" max="24" width="10.44140625" style="146" bestFit="1" customWidth="1"/>
    <col min="25" max="25" width="12" style="146" bestFit="1" customWidth="1"/>
    <col min="26" max="26" width="4" style="146" customWidth="1"/>
    <col min="27" max="31" width="10.44140625" style="146" bestFit="1" customWidth="1"/>
    <col min="32" max="32" width="7.44140625" style="146" customWidth="1"/>
    <col min="33" max="33" width="10.44140625" style="146" bestFit="1" customWidth="1"/>
    <col min="34" max="36" width="10.44140625" style="146" hidden="1" customWidth="1"/>
    <col min="37" max="37" width="2.33203125" style="605" customWidth="1"/>
    <col min="38" max="42" width="10.21875" style="146" bestFit="1" customWidth="1"/>
    <col min="43" max="43" width="8.77734375" style="146"/>
    <col min="44" max="44" width="0" style="146" hidden="1" customWidth="1"/>
    <col min="45" max="46" width="10.44140625" style="621" bestFit="1" customWidth="1"/>
    <col min="47" max="16384" width="8.77734375" style="146"/>
  </cols>
  <sheetData>
    <row r="1" spans="1:46" x14ac:dyDescent="0.25">
      <c r="A1" s="155"/>
      <c r="C1" s="476"/>
      <c r="D1" s="476"/>
      <c r="E1" s="476"/>
      <c r="F1" s="476"/>
      <c r="G1" s="476"/>
      <c r="H1" s="477"/>
      <c r="I1" s="476"/>
      <c r="J1" s="476"/>
      <c r="K1" s="476"/>
      <c r="L1" s="476"/>
      <c r="M1" s="476"/>
      <c r="N1" s="477"/>
      <c r="O1" s="476"/>
      <c r="P1" s="476"/>
      <c r="Q1" s="476"/>
      <c r="R1" s="476"/>
      <c r="S1" s="476"/>
      <c r="T1" s="477"/>
      <c r="U1" s="476"/>
      <c r="V1" s="476"/>
      <c r="W1" s="476"/>
      <c r="X1" s="476"/>
      <c r="Y1" s="476"/>
      <c r="Z1" s="477"/>
      <c r="AA1" s="476"/>
      <c r="AB1" s="476"/>
      <c r="AC1" s="476"/>
      <c r="AD1" s="476"/>
      <c r="AE1" s="476"/>
      <c r="AF1" s="477"/>
      <c r="AG1" s="476"/>
      <c r="AH1" s="476"/>
      <c r="AI1" s="476"/>
      <c r="AJ1" s="476"/>
      <c r="AK1" s="478"/>
      <c r="AL1" s="476"/>
      <c r="AM1" s="476"/>
      <c r="AN1" s="476"/>
      <c r="AO1" s="476"/>
      <c r="AP1" s="476"/>
      <c r="AS1" s="622"/>
      <c r="AT1" s="622"/>
    </row>
    <row r="2" spans="1:46" s="487" customFormat="1" x14ac:dyDescent="0.25">
      <c r="A2" s="479"/>
      <c r="B2" s="480" t="s">
        <v>0</v>
      </c>
      <c r="C2" s="481" t="s">
        <v>1</v>
      </c>
      <c r="D2" s="481" t="s">
        <v>2</v>
      </c>
      <c r="E2" s="481" t="s">
        <v>3</v>
      </c>
      <c r="F2" s="481" t="s">
        <v>4</v>
      </c>
      <c r="G2" s="481" t="s">
        <v>59</v>
      </c>
      <c r="H2" s="482"/>
      <c r="I2" s="481" t="s">
        <v>5</v>
      </c>
      <c r="J2" s="481" t="s">
        <v>6</v>
      </c>
      <c r="K2" s="481" t="s">
        <v>7</v>
      </c>
      <c r="L2" s="481" t="s">
        <v>8</v>
      </c>
      <c r="M2" s="481" t="s">
        <v>60</v>
      </c>
      <c r="N2" s="483"/>
      <c r="O2" s="484" t="s">
        <v>9</v>
      </c>
      <c r="P2" s="481" t="s">
        <v>10</v>
      </c>
      <c r="Q2" s="481" t="s">
        <v>11</v>
      </c>
      <c r="R2" s="481" t="s">
        <v>12</v>
      </c>
      <c r="S2" s="481" t="s">
        <v>17</v>
      </c>
      <c r="T2" s="482"/>
      <c r="U2" s="481" t="s">
        <v>13</v>
      </c>
      <c r="V2" s="481" t="s">
        <v>14</v>
      </c>
      <c r="W2" s="481" t="s">
        <v>15</v>
      </c>
      <c r="X2" s="481" t="s">
        <v>16</v>
      </c>
      <c r="Y2" s="481" t="s">
        <v>18</v>
      </c>
      <c r="Z2" s="482"/>
      <c r="AA2" s="481" t="s">
        <v>19</v>
      </c>
      <c r="AB2" s="481" t="s">
        <v>20</v>
      </c>
      <c r="AC2" s="481" t="s">
        <v>21</v>
      </c>
      <c r="AD2" s="481" t="s">
        <v>22</v>
      </c>
      <c r="AE2" s="481" t="s">
        <v>28</v>
      </c>
      <c r="AF2" s="485"/>
      <c r="AG2" s="481" t="s">
        <v>355</v>
      </c>
      <c r="AH2" s="481" t="s">
        <v>356</v>
      </c>
      <c r="AI2" s="481" t="s">
        <v>357</v>
      </c>
      <c r="AJ2" s="481" t="s">
        <v>358</v>
      </c>
      <c r="AK2" s="478"/>
      <c r="AL2" s="484" t="s">
        <v>59</v>
      </c>
      <c r="AM2" s="481" t="s">
        <v>60</v>
      </c>
      <c r="AN2" s="481" t="s">
        <v>17</v>
      </c>
      <c r="AO2" s="481" t="s">
        <v>18</v>
      </c>
      <c r="AP2" s="486" t="s">
        <v>28</v>
      </c>
      <c r="AS2" s="623" t="s">
        <v>373</v>
      </c>
      <c r="AT2" s="623" t="s">
        <v>374</v>
      </c>
    </row>
    <row r="3" spans="1:46" x14ac:dyDescent="0.25">
      <c r="A3" s="155"/>
      <c r="B3" s="488" t="s">
        <v>81</v>
      </c>
      <c r="C3" s="489">
        <v>419.25632677829805</v>
      </c>
      <c r="D3" s="489">
        <v>1000.567734547403</v>
      </c>
      <c r="E3" s="489">
        <v>327.60813216156453</v>
      </c>
      <c r="F3" s="489">
        <v>1162.0280753402783</v>
      </c>
      <c r="G3" s="489">
        <v>2909.4602688275436</v>
      </c>
      <c r="H3" s="482">
        <v>0</v>
      </c>
      <c r="I3" s="489">
        <v>195.85374668988965</v>
      </c>
      <c r="J3" s="489">
        <v>111.95810409405311</v>
      </c>
      <c r="K3" s="489">
        <v>217.43390611367531</v>
      </c>
      <c r="L3" s="489">
        <v>611.63481917517902</v>
      </c>
      <c r="M3" s="489">
        <v>1136.8805760727973</v>
      </c>
      <c r="N3" s="490"/>
      <c r="O3" s="491">
        <v>252.69312040259123</v>
      </c>
      <c r="P3" s="489">
        <v>249.14216697589367</v>
      </c>
      <c r="Q3" s="489">
        <v>213.04270104645045</v>
      </c>
      <c r="R3" s="489">
        <v>469.63415532297694</v>
      </c>
      <c r="S3" s="489">
        <v>1184.5121437479122</v>
      </c>
      <c r="T3" s="492"/>
      <c r="U3" s="489">
        <v>416.45135934392874</v>
      </c>
      <c r="V3" s="489">
        <v>364.99967399384246</v>
      </c>
      <c r="W3" s="489">
        <v>355.75949647999994</v>
      </c>
      <c r="X3" s="489">
        <v>336.21698777258507</v>
      </c>
      <c r="Y3" s="489">
        <v>1473.4275175903563</v>
      </c>
      <c r="Z3" s="492"/>
      <c r="AA3" s="489">
        <v>240.77828546958204</v>
      </c>
      <c r="AB3" s="489">
        <v>363.95460646419673</v>
      </c>
      <c r="AC3" s="489">
        <v>312.35397045940653</v>
      </c>
      <c r="AD3" s="489">
        <v>421.97292210647407</v>
      </c>
      <c r="AE3" s="489">
        <v>1339.0597844996591</v>
      </c>
      <c r="AF3" s="492"/>
      <c r="AG3" s="489">
        <v>224.95569032223256</v>
      </c>
      <c r="AH3" s="489">
        <v>0</v>
      </c>
      <c r="AI3" s="489">
        <v>0</v>
      </c>
      <c r="AJ3" s="489">
        <v>0</v>
      </c>
      <c r="AK3" s="478"/>
      <c r="AL3" s="491">
        <v>2909.4602688275436</v>
      </c>
      <c r="AM3" s="489">
        <v>1136.8805760727973</v>
      </c>
      <c r="AN3" s="489">
        <v>1184.5121437479122</v>
      </c>
      <c r="AO3" s="489">
        <v>1473.4275175903563</v>
      </c>
      <c r="AP3" s="493">
        <v>1339.0597844996591</v>
      </c>
      <c r="AS3" s="643">
        <v>-6.5714377509131228E-2</v>
      </c>
      <c r="AT3" s="644">
        <v>-0.46689543679897372</v>
      </c>
    </row>
    <row r="4" spans="1:46" s="503" customFormat="1" x14ac:dyDescent="0.25">
      <c r="A4" s="494"/>
      <c r="B4" s="495" t="s">
        <v>82</v>
      </c>
      <c r="C4" s="496">
        <v>84.082362189999969</v>
      </c>
      <c r="D4" s="496">
        <v>87.481180879999954</v>
      </c>
      <c r="E4" s="496">
        <v>77.469966580000005</v>
      </c>
      <c r="F4" s="496">
        <v>87.662695960000022</v>
      </c>
      <c r="G4" s="496">
        <v>336.69620560999994</v>
      </c>
      <c r="H4" s="497"/>
      <c r="I4" s="496">
        <v>48.093845166842151</v>
      </c>
      <c r="J4" s="496">
        <v>26.891948199046418</v>
      </c>
      <c r="K4" s="496">
        <v>63.998807749999983</v>
      </c>
      <c r="L4" s="496">
        <v>41.993983906747303</v>
      </c>
      <c r="M4" s="496">
        <v>180.97858502263585</v>
      </c>
      <c r="N4" s="498"/>
      <c r="O4" s="499">
        <v>94.285441201654578</v>
      </c>
      <c r="P4" s="496">
        <v>88.364862318345445</v>
      </c>
      <c r="Q4" s="496">
        <v>66.901066587231014</v>
      </c>
      <c r="R4" s="496">
        <v>117.75853468999995</v>
      </c>
      <c r="S4" s="496">
        <v>367.30990479723096</v>
      </c>
      <c r="T4" s="500"/>
      <c r="U4" s="496">
        <v>88.675083192000002</v>
      </c>
      <c r="V4" s="496">
        <v>108.91696553777125</v>
      </c>
      <c r="W4" s="496">
        <v>104.50762110999997</v>
      </c>
      <c r="X4" s="496">
        <v>28.212558409999993</v>
      </c>
      <c r="Y4" s="496">
        <v>330.31222824977124</v>
      </c>
      <c r="Z4" s="501"/>
      <c r="AA4" s="496">
        <v>51.632813299582047</v>
      </c>
      <c r="AB4" s="496">
        <v>28.452698454196735</v>
      </c>
      <c r="AC4" s="496">
        <v>25.447769169406534</v>
      </c>
      <c r="AD4" s="496">
        <v>45.093813585871288</v>
      </c>
      <c r="AE4" s="496">
        <v>150.6270945090566</v>
      </c>
      <c r="AF4" s="501"/>
      <c r="AG4" s="496">
        <v>36.810318469999999</v>
      </c>
      <c r="AH4" s="496"/>
      <c r="AI4" s="496"/>
      <c r="AJ4" s="496"/>
      <c r="AK4" s="478"/>
      <c r="AL4" s="499">
        <v>336.69620560999994</v>
      </c>
      <c r="AM4" s="496">
        <v>180.97858502263585</v>
      </c>
      <c r="AN4" s="496">
        <v>367.30990479723096</v>
      </c>
      <c r="AO4" s="496">
        <v>330.31222824977124</v>
      </c>
      <c r="AP4" s="502">
        <v>150.6270945090566</v>
      </c>
      <c r="AS4" s="645">
        <v>-0.28707509590034352</v>
      </c>
      <c r="AT4" s="646">
        <v>-0.18369471235998236</v>
      </c>
    </row>
    <row r="5" spans="1:46" s="503" customFormat="1" x14ac:dyDescent="0.25">
      <c r="A5" s="494"/>
      <c r="B5" s="504" t="s">
        <v>83</v>
      </c>
      <c r="C5" s="496">
        <v>83.651020494799852</v>
      </c>
      <c r="D5" s="496">
        <v>115.67588255915854</v>
      </c>
      <c r="E5" s="496">
        <v>53.773891207372806</v>
      </c>
      <c r="F5" s="496">
        <v>130.4416772983395</v>
      </c>
      <c r="G5" s="496">
        <v>383.54247155967067</v>
      </c>
      <c r="H5" s="497"/>
      <c r="I5" s="496">
        <v>65.045256694188495</v>
      </c>
      <c r="J5" s="496">
        <v>33.557150040707796</v>
      </c>
      <c r="K5" s="496">
        <v>107.88897833095321</v>
      </c>
      <c r="L5" s="496">
        <v>168.20064626385314</v>
      </c>
      <c r="M5" s="496">
        <v>374.69203132970273</v>
      </c>
      <c r="N5" s="498"/>
      <c r="O5" s="499">
        <v>117.65494754080004</v>
      </c>
      <c r="P5" s="496">
        <v>111.99981320919996</v>
      </c>
      <c r="Q5" s="496">
        <v>105.25200638999999</v>
      </c>
      <c r="R5" s="496">
        <v>129.92485626999996</v>
      </c>
      <c r="S5" s="496">
        <v>464.83162341000002</v>
      </c>
      <c r="T5" s="500"/>
      <c r="U5" s="496">
        <v>130.76486648000002</v>
      </c>
      <c r="V5" s="496">
        <v>143.26481161999999</v>
      </c>
      <c r="W5" s="496">
        <v>185.22006511999996</v>
      </c>
      <c r="X5" s="496">
        <v>205.9843644500001</v>
      </c>
      <c r="Y5" s="496">
        <v>665.23410767000007</v>
      </c>
      <c r="Z5" s="501"/>
      <c r="AA5" s="496">
        <v>146.83270558999999</v>
      </c>
      <c r="AB5" s="496">
        <v>223.75524371999998</v>
      </c>
      <c r="AC5" s="496">
        <v>216.84344859999993</v>
      </c>
      <c r="AD5" s="496">
        <v>201.24005329060282</v>
      </c>
      <c r="AE5" s="496">
        <v>788.67145120060263</v>
      </c>
      <c r="AF5" s="501"/>
      <c r="AG5" s="496">
        <v>103.82090653223257</v>
      </c>
      <c r="AH5" s="496"/>
      <c r="AI5" s="496"/>
      <c r="AJ5" s="496"/>
      <c r="AK5" s="478"/>
      <c r="AL5" s="499">
        <v>383.54247155967067</v>
      </c>
      <c r="AM5" s="496">
        <v>374.69203132970273</v>
      </c>
      <c r="AN5" s="496">
        <v>464.83162341000002</v>
      </c>
      <c r="AO5" s="496">
        <v>665.23410767000007</v>
      </c>
      <c r="AP5" s="502">
        <v>788.67145120060263</v>
      </c>
      <c r="AS5" s="645">
        <v>-0.29293064433389238</v>
      </c>
      <c r="AT5" s="646">
        <v>-0.48409422063554663</v>
      </c>
    </row>
    <row r="6" spans="1:46" s="503" customFormat="1" x14ac:dyDescent="0.25">
      <c r="A6" s="494"/>
      <c r="B6" s="504" t="s">
        <v>84</v>
      </c>
      <c r="C6" s="496">
        <v>220.9250851215902</v>
      </c>
      <c r="D6" s="496">
        <v>758.94311765903672</v>
      </c>
      <c r="E6" s="496">
        <v>131.05398453937295</v>
      </c>
      <c r="F6" s="496">
        <v>526.10099983999999</v>
      </c>
      <c r="G6" s="496">
        <v>1637.0231871599997</v>
      </c>
      <c r="H6" s="497"/>
      <c r="I6" s="496">
        <v>40.636622630000005</v>
      </c>
      <c r="J6" s="496">
        <v>30.234908189999995</v>
      </c>
      <c r="K6" s="496">
        <v>12.850740050000008</v>
      </c>
      <c r="L6" s="496">
        <v>364.39207491999997</v>
      </c>
      <c r="M6" s="496">
        <v>448.11434579000002</v>
      </c>
      <c r="N6" s="498"/>
      <c r="O6" s="499">
        <v>5.0567220099999997</v>
      </c>
      <c r="P6" s="496">
        <v>12.719877930000003</v>
      </c>
      <c r="Q6" s="496">
        <v>4.0679933299999966</v>
      </c>
      <c r="R6" s="496">
        <v>18.265144680000006</v>
      </c>
      <c r="S6" s="496">
        <v>40.109737950000003</v>
      </c>
      <c r="T6" s="500"/>
      <c r="U6" s="496">
        <v>6.1054814682571088</v>
      </c>
      <c r="V6" s="496">
        <v>12.123524606829692</v>
      </c>
      <c r="W6" s="496">
        <v>27.862243399861995</v>
      </c>
      <c r="X6" s="496">
        <v>12.675728070486</v>
      </c>
      <c r="Y6" s="496">
        <v>58.766977545434798</v>
      </c>
      <c r="Z6" s="501"/>
      <c r="AA6" s="496">
        <v>7.7520285914432403</v>
      </c>
      <c r="AB6" s="496">
        <v>-3.1832314562052491E-14</v>
      </c>
      <c r="AC6" s="496">
        <v>1.9002018234459682E-9</v>
      </c>
      <c r="AD6" s="496">
        <v>-0.40208571334341103</v>
      </c>
      <c r="AE6" s="496">
        <v>7.3499428799999995</v>
      </c>
      <c r="AF6" s="501"/>
      <c r="AG6" s="496">
        <v>0</v>
      </c>
      <c r="AH6" s="496"/>
      <c r="AI6" s="496"/>
      <c r="AJ6" s="496"/>
      <c r="AK6" s="478"/>
      <c r="AL6" s="499">
        <v>1637.0231871599997</v>
      </c>
      <c r="AM6" s="496">
        <v>448.11434579000002</v>
      </c>
      <c r="AN6" s="496">
        <v>40.109737950000003</v>
      </c>
      <c r="AO6" s="496">
        <v>58.766977545434798</v>
      </c>
      <c r="AP6" s="502">
        <v>7.3499428799999995</v>
      </c>
      <c r="AR6" s="503" t="s">
        <v>294</v>
      </c>
      <c r="AS6" s="645">
        <v>-1</v>
      </c>
      <c r="AT6" s="646">
        <v>-1</v>
      </c>
    </row>
    <row r="7" spans="1:46" x14ac:dyDescent="0.25">
      <c r="A7" s="155"/>
      <c r="B7" s="488" t="s">
        <v>85</v>
      </c>
      <c r="C7" s="505">
        <v>3.24467566</v>
      </c>
      <c r="D7" s="505">
        <v>8.9224922500000012</v>
      </c>
      <c r="E7" s="505">
        <v>31.099546030000003</v>
      </c>
      <c r="F7" s="505">
        <v>385.96585295000006</v>
      </c>
      <c r="G7" s="505">
        <v>429.23256689000004</v>
      </c>
      <c r="H7" s="482"/>
      <c r="I7" s="505">
        <v>9.2934708500000003</v>
      </c>
      <c r="J7" s="505">
        <v>2.2306476800000019</v>
      </c>
      <c r="K7" s="505">
        <v>7.5518708100000005</v>
      </c>
      <c r="L7" s="505">
        <v>8.8670020000000012</v>
      </c>
      <c r="M7" s="505">
        <v>27.942991339999999</v>
      </c>
      <c r="N7" s="506"/>
      <c r="O7" s="507">
        <v>9.9432061600000008</v>
      </c>
      <c r="P7" s="505">
        <v>11.042387638348286</v>
      </c>
      <c r="Q7" s="505">
        <v>16.376350800660251</v>
      </c>
      <c r="R7" s="505">
        <v>180.83945791661415</v>
      </c>
      <c r="S7" s="505">
        <v>218.2014025156227</v>
      </c>
      <c r="T7" s="508"/>
      <c r="U7" s="509">
        <v>164.82026186934382</v>
      </c>
      <c r="V7" s="509">
        <v>71.803872126071212</v>
      </c>
      <c r="W7" s="509">
        <v>9.2553403900000273</v>
      </c>
      <c r="X7" s="509">
        <v>61.206938272584971</v>
      </c>
      <c r="Y7" s="509">
        <v>307.08641265800003</v>
      </c>
      <c r="Z7" s="492"/>
      <c r="AA7" s="509">
        <v>5.7663453899999997</v>
      </c>
      <c r="AB7" s="509">
        <v>80.720319739999994</v>
      </c>
      <c r="AC7" s="509">
        <v>40.046895939999992</v>
      </c>
      <c r="AD7" s="509">
        <v>150.02806484000001</v>
      </c>
      <c r="AE7" s="509">
        <v>276.56162590999998</v>
      </c>
      <c r="AF7" s="492"/>
      <c r="AG7" s="509">
        <v>48.36153371999999</v>
      </c>
      <c r="AH7" s="509"/>
      <c r="AI7" s="509"/>
      <c r="AJ7" s="509"/>
      <c r="AK7" s="478"/>
      <c r="AL7" s="510">
        <v>429.23256689000004</v>
      </c>
      <c r="AM7" s="509">
        <v>27.942991339999999</v>
      </c>
      <c r="AN7" s="509">
        <v>218.2014025156227</v>
      </c>
      <c r="AO7" s="509">
        <v>307.08641265800003</v>
      </c>
      <c r="AP7" s="511">
        <v>276.56162590999998</v>
      </c>
      <c r="AR7" s="146" t="s">
        <v>295</v>
      </c>
      <c r="AS7" s="647">
        <v>7.386860385413021</v>
      </c>
      <c r="AT7" s="648">
        <v>-0.67765008652497138</v>
      </c>
    </row>
    <row r="8" spans="1:46" x14ac:dyDescent="0.25">
      <c r="A8" s="155"/>
      <c r="B8" s="488" t="s">
        <v>86</v>
      </c>
      <c r="C8" s="505">
        <v>19.49560373190803</v>
      </c>
      <c r="D8" s="505">
        <v>21.005238986707834</v>
      </c>
      <c r="E8" s="505">
        <v>24.804097577318757</v>
      </c>
      <c r="F8" s="505">
        <v>27.323499081938696</v>
      </c>
      <c r="G8" s="505">
        <v>92.62843937787332</v>
      </c>
      <c r="H8" s="482"/>
      <c r="I8" s="505">
        <v>24.041949808859002</v>
      </c>
      <c r="J8" s="505">
        <v>12.620426911141017</v>
      </c>
      <c r="K8" s="505">
        <v>17.25747480272209</v>
      </c>
      <c r="L8" s="505">
        <v>18.771907214578786</v>
      </c>
      <c r="M8" s="505">
        <v>72.691758737300901</v>
      </c>
      <c r="N8" s="506"/>
      <c r="O8" s="507">
        <v>16.24631284013666</v>
      </c>
      <c r="P8" s="505">
        <v>15.65734986000002</v>
      </c>
      <c r="Q8" s="505">
        <v>12.802024618559178</v>
      </c>
      <c r="R8" s="505">
        <v>16.276764506362845</v>
      </c>
      <c r="S8" s="505">
        <v>60.982451825058696</v>
      </c>
      <c r="T8" s="508"/>
      <c r="U8" s="509">
        <v>20.097215064327845</v>
      </c>
      <c r="V8" s="509">
        <v>25.017051103170303</v>
      </c>
      <c r="W8" s="509">
        <v>25.623161310137991</v>
      </c>
      <c r="X8" s="509">
        <v>28.154655699514006</v>
      </c>
      <c r="Y8" s="509">
        <v>98.892083177150141</v>
      </c>
      <c r="Z8" s="492"/>
      <c r="AA8" s="509">
        <v>26.844366998556765</v>
      </c>
      <c r="AB8" s="509">
        <v>29.679532280000021</v>
      </c>
      <c r="AC8" s="509">
        <v>28.964841508099795</v>
      </c>
      <c r="AD8" s="509">
        <v>24.63103837334339</v>
      </c>
      <c r="AE8" s="509">
        <v>110.11977915999998</v>
      </c>
      <c r="AF8" s="492"/>
      <c r="AG8" s="509">
        <v>34.836274580000016</v>
      </c>
      <c r="AH8" s="509"/>
      <c r="AI8" s="509"/>
      <c r="AJ8" s="509"/>
      <c r="AK8" s="478"/>
      <c r="AL8" s="510">
        <v>92.62843937787332</v>
      </c>
      <c r="AM8" s="509">
        <v>72.691758737300901</v>
      </c>
      <c r="AN8" s="509">
        <v>60.982451825058696</v>
      </c>
      <c r="AO8" s="509">
        <v>98.892083177150141</v>
      </c>
      <c r="AP8" s="511">
        <v>110.11977915999998</v>
      </c>
      <c r="AS8" s="647">
        <v>0.29771264794110874</v>
      </c>
      <c r="AT8" s="648">
        <v>0.41432423805977692</v>
      </c>
    </row>
    <row r="9" spans="1:46" x14ac:dyDescent="0.25">
      <c r="A9" s="155"/>
      <c r="B9" s="488" t="s">
        <v>87</v>
      </c>
      <c r="C9" s="505">
        <v>7.8575795800000003</v>
      </c>
      <c r="D9" s="505">
        <v>8.5398222124999972</v>
      </c>
      <c r="E9" s="505">
        <v>9.4066462275000013</v>
      </c>
      <c r="F9" s="505">
        <v>4.5333502100000036</v>
      </c>
      <c r="G9" s="505">
        <v>30.337398230000002</v>
      </c>
      <c r="H9" s="482"/>
      <c r="I9" s="505">
        <v>8.7426015400000008</v>
      </c>
      <c r="J9" s="505">
        <v>6.4230230731578732</v>
      </c>
      <c r="K9" s="505">
        <v>7.8860343699999991</v>
      </c>
      <c r="L9" s="505">
        <v>9.4092048699999964</v>
      </c>
      <c r="M9" s="505">
        <v>32.460863853157868</v>
      </c>
      <c r="N9" s="506"/>
      <c r="O9" s="507">
        <v>9.5064906499999999</v>
      </c>
      <c r="P9" s="505">
        <v>9.3578760199999973</v>
      </c>
      <c r="Q9" s="505">
        <v>7.6432593200000012</v>
      </c>
      <c r="R9" s="505">
        <v>6.5693972599999988</v>
      </c>
      <c r="S9" s="505">
        <v>33.077023249999996</v>
      </c>
      <c r="T9" s="508"/>
      <c r="U9" s="509">
        <v>5.9884512699999997</v>
      </c>
      <c r="V9" s="509">
        <v>3.8734490000000004</v>
      </c>
      <c r="W9" s="509">
        <v>3.2910651500000001</v>
      </c>
      <c r="X9" s="509">
        <v>-1.7257129999999961E-2</v>
      </c>
      <c r="Y9" s="509">
        <v>13.13570829</v>
      </c>
      <c r="Z9" s="492"/>
      <c r="AA9" s="509">
        <v>1.9500256</v>
      </c>
      <c r="AB9" s="509">
        <v>1.3468122699999998</v>
      </c>
      <c r="AC9" s="509">
        <v>1.0510152399999999</v>
      </c>
      <c r="AD9" s="509">
        <v>1.3820377300000004</v>
      </c>
      <c r="AE9" s="509">
        <v>5.7298908400000004</v>
      </c>
      <c r="AF9" s="492"/>
      <c r="AG9" s="509">
        <v>1.1266570200000001</v>
      </c>
      <c r="AH9" s="509"/>
      <c r="AI9" s="509"/>
      <c r="AJ9" s="509"/>
      <c r="AK9" s="478"/>
      <c r="AL9" s="510">
        <v>30.337398230000002</v>
      </c>
      <c r="AM9" s="509">
        <v>32.460863853157868</v>
      </c>
      <c r="AN9" s="509">
        <v>33.077023249999996</v>
      </c>
      <c r="AO9" s="509">
        <v>13.13570829</v>
      </c>
      <c r="AP9" s="511">
        <v>5.7298908400000004</v>
      </c>
      <c r="AS9" s="647">
        <v>-0.42223475425143131</v>
      </c>
      <c r="AT9" s="648">
        <v>-0.18478562810293186</v>
      </c>
    </row>
    <row r="10" spans="1:46" x14ac:dyDescent="0.25">
      <c r="A10" s="155"/>
      <c r="B10" s="512" t="s">
        <v>215</v>
      </c>
      <c r="C10" s="513">
        <v>419.3</v>
      </c>
      <c r="D10" s="513">
        <v>1000.5</v>
      </c>
      <c r="E10" s="513">
        <v>327.60000000000008</v>
      </c>
      <c r="F10" s="513">
        <v>1162.0999999999997</v>
      </c>
      <c r="G10" s="513">
        <v>2909.5</v>
      </c>
      <c r="H10" s="482"/>
      <c r="I10" s="513">
        <v>195.9</v>
      </c>
      <c r="J10" s="513">
        <v>111.95699999999999</v>
      </c>
      <c r="K10" s="513">
        <v>217.40000000000006</v>
      </c>
      <c r="L10" s="513">
        <v>611.70000000000005</v>
      </c>
      <c r="M10" s="513">
        <v>1136.9000000000001</v>
      </c>
      <c r="N10" s="506"/>
      <c r="O10" s="514">
        <v>252.7</v>
      </c>
      <c r="P10" s="513">
        <v>249.10000000000002</v>
      </c>
      <c r="Q10" s="513">
        <v>213.09999999999997</v>
      </c>
      <c r="R10" s="513">
        <v>469.59999999999997</v>
      </c>
      <c r="S10" s="513">
        <v>1184.5</v>
      </c>
      <c r="T10" s="508"/>
      <c r="U10" s="513">
        <v>416.5</v>
      </c>
      <c r="V10" s="513">
        <v>365</v>
      </c>
      <c r="W10" s="513">
        <v>355.70000000000005</v>
      </c>
      <c r="X10" s="513">
        <v>336.20000000000005</v>
      </c>
      <c r="Y10" s="513">
        <v>1473.4</v>
      </c>
      <c r="Z10" s="492"/>
      <c r="AA10" s="513">
        <v>240.8</v>
      </c>
      <c r="AB10" s="513">
        <v>363.90000000000003</v>
      </c>
      <c r="AC10" s="513">
        <v>312.39999999999992</v>
      </c>
      <c r="AD10" s="513">
        <v>421.99999999999994</v>
      </c>
      <c r="AE10" s="513">
        <v>1339.1</v>
      </c>
      <c r="AF10" s="492"/>
      <c r="AG10" s="513">
        <v>225</v>
      </c>
      <c r="AH10" s="513"/>
      <c r="AI10" s="513"/>
      <c r="AJ10" s="513"/>
      <c r="AK10" s="478"/>
      <c r="AL10" s="514">
        <v>2909.5</v>
      </c>
      <c r="AM10" s="513">
        <v>1136.9000000000001</v>
      </c>
      <c r="AN10" s="513">
        <v>1184.5</v>
      </c>
      <c r="AO10" s="513">
        <v>1473.4</v>
      </c>
      <c r="AP10" s="515">
        <v>1339.1</v>
      </c>
      <c r="AS10" s="649">
        <v>-6.5614617940199405E-2</v>
      </c>
      <c r="AT10" s="650">
        <v>-0.46682464454976291</v>
      </c>
    </row>
    <row r="11" spans="1:46" x14ac:dyDescent="0.25">
      <c r="A11" s="155"/>
      <c r="B11" s="175" t="s">
        <v>88</v>
      </c>
      <c r="C11" s="505">
        <v>-293.28775062316492</v>
      </c>
      <c r="D11" s="505">
        <v>-787.90959023184234</v>
      </c>
      <c r="E11" s="505">
        <v>-173.79469390167921</v>
      </c>
      <c r="F11" s="505">
        <v>-848.61974902831071</v>
      </c>
      <c r="G11" s="505">
        <v>-2103.611783784997</v>
      </c>
      <c r="H11" s="482"/>
      <c r="I11" s="505">
        <v>-120.732</v>
      </c>
      <c r="J11" s="505">
        <v>-122.15</v>
      </c>
      <c r="K11" s="505">
        <v>-141.98699999999999</v>
      </c>
      <c r="L11" s="505">
        <v>-453.23100000000011</v>
      </c>
      <c r="M11" s="505">
        <v>-838.1</v>
      </c>
      <c r="N11" s="506"/>
      <c r="O11" s="507">
        <v>-173.1</v>
      </c>
      <c r="P11" s="505">
        <v>-181.6</v>
      </c>
      <c r="Q11" s="505">
        <v>-151.69999999999996</v>
      </c>
      <c r="R11" s="505">
        <v>-457.1</v>
      </c>
      <c r="S11" s="505">
        <v>-963.5</v>
      </c>
      <c r="T11" s="508"/>
      <c r="U11" s="505">
        <v>-317.60000000000002</v>
      </c>
      <c r="V11" s="505">
        <v>-250.60000000000002</v>
      </c>
      <c r="W11" s="505">
        <v>-261.19999999999993</v>
      </c>
      <c r="X11" s="505">
        <v>-212.80000000000007</v>
      </c>
      <c r="Y11" s="505">
        <v>-1042.2</v>
      </c>
      <c r="Z11" s="492"/>
      <c r="AA11" s="505">
        <v>-134.69999999999999</v>
      </c>
      <c r="AB11" s="505">
        <v>-249.3</v>
      </c>
      <c r="AC11" s="505">
        <v>-229.60000000000002</v>
      </c>
      <c r="AD11" s="505">
        <v>-251.8</v>
      </c>
      <c r="AE11" s="505">
        <v>-865.4</v>
      </c>
      <c r="AF11" s="492"/>
      <c r="AG11" s="505">
        <v>-154.6</v>
      </c>
      <c r="AH11" s="505"/>
      <c r="AI11" s="505"/>
      <c r="AJ11" s="505"/>
      <c r="AK11" s="478"/>
      <c r="AL11" s="507">
        <v>-2103.611783784997</v>
      </c>
      <c r="AM11" s="505">
        <v>-838.1</v>
      </c>
      <c r="AN11" s="505">
        <v>-963.5</v>
      </c>
      <c r="AO11" s="505">
        <v>-1042.2</v>
      </c>
      <c r="AP11" s="516">
        <v>-865.4</v>
      </c>
      <c r="AS11" s="628">
        <v>0.14773570898292498</v>
      </c>
      <c r="AT11" s="634">
        <v>-0.38602065131056396</v>
      </c>
    </row>
    <row r="12" spans="1:46" x14ac:dyDescent="0.25">
      <c r="A12" s="155"/>
      <c r="B12" s="512" t="s">
        <v>30</v>
      </c>
      <c r="C12" s="517">
        <v>126.01224937683509</v>
      </c>
      <c r="D12" s="517">
        <v>212.59040976815766</v>
      </c>
      <c r="E12" s="517">
        <v>153.80530609832087</v>
      </c>
      <c r="F12" s="517">
        <v>313.48025097168897</v>
      </c>
      <c r="G12" s="517">
        <v>805.88821621500301</v>
      </c>
      <c r="H12" s="482"/>
      <c r="I12" s="517">
        <v>75.168000000000006</v>
      </c>
      <c r="J12" s="517">
        <v>-10.193000000000012</v>
      </c>
      <c r="K12" s="517">
        <v>75.413000000000068</v>
      </c>
      <c r="L12" s="517">
        <v>158.46899999999994</v>
      </c>
      <c r="M12" s="517">
        <v>298.80000000000007</v>
      </c>
      <c r="N12" s="506"/>
      <c r="O12" s="518">
        <v>79.599999999999994</v>
      </c>
      <c r="P12" s="517">
        <v>67.500000000000028</v>
      </c>
      <c r="Q12" s="517">
        <v>61.400000000000006</v>
      </c>
      <c r="R12" s="517">
        <v>12.499999999999943</v>
      </c>
      <c r="S12" s="517">
        <v>221</v>
      </c>
      <c r="T12" s="508"/>
      <c r="U12" s="517">
        <v>98.899999999999977</v>
      </c>
      <c r="V12" s="517">
        <v>114.39999999999998</v>
      </c>
      <c r="W12" s="517">
        <v>94.500000000000114</v>
      </c>
      <c r="X12" s="517">
        <v>123.39999999999998</v>
      </c>
      <c r="Y12" s="517">
        <v>431.20000000000005</v>
      </c>
      <c r="Z12" s="492"/>
      <c r="AA12" s="517">
        <v>106.10000000000002</v>
      </c>
      <c r="AB12" s="517">
        <v>114.60000000000002</v>
      </c>
      <c r="AC12" s="517">
        <v>82.799999999999898</v>
      </c>
      <c r="AD12" s="517">
        <v>170.19999999999993</v>
      </c>
      <c r="AE12" s="517">
        <v>473.69999999999993</v>
      </c>
      <c r="AF12" s="525"/>
      <c r="AG12" s="517">
        <v>70.400000000000006</v>
      </c>
      <c r="AH12" s="517">
        <v>0</v>
      </c>
      <c r="AI12" s="517">
        <v>0</v>
      </c>
      <c r="AJ12" s="517">
        <v>0</v>
      </c>
      <c r="AK12" s="478"/>
      <c r="AL12" s="518">
        <v>805.88821621500301</v>
      </c>
      <c r="AM12" s="517">
        <v>298.80000000000007</v>
      </c>
      <c r="AN12" s="517">
        <v>221</v>
      </c>
      <c r="AO12" s="517">
        <v>431.20000000000005</v>
      </c>
      <c r="AP12" s="519">
        <v>473.69999999999993</v>
      </c>
      <c r="AS12" s="651">
        <v>-0.33647502356267678</v>
      </c>
      <c r="AT12" s="652">
        <v>-0.5863689776733253</v>
      </c>
    </row>
    <row r="13" spans="1:46" x14ac:dyDescent="0.25">
      <c r="A13" s="520"/>
      <c r="B13" s="521" t="s">
        <v>31</v>
      </c>
      <c r="C13" s="522">
        <v>0.30053004859726945</v>
      </c>
      <c r="D13" s="522">
        <v>0.21248416768431549</v>
      </c>
      <c r="E13" s="522">
        <v>0.46949116635629068</v>
      </c>
      <c r="F13" s="522">
        <v>0.26975324926571642</v>
      </c>
      <c r="G13" s="522">
        <v>0.27698512329094449</v>
      </c>
      <c r="H13" s="482"/>
      <c r="I13" s="522">
        <v>0.38370597243491578</v>
      </c>
      <c r="J13" s="522">
        <v>-9.1043882919335212E-2</v>
      </c>
      <c r="K13" s="522">
        <v>0.3468859245630177</v>
      </c>
      <c r="L13" s="522">
        <v>0.2590632663070131</v>
      </c>
      <c r="M13" s="522">
        <v>0.26281994898407957</v>
      </c>
      <c r="N13" s="506"/>
      <c r="O13" s="523">
        <v>0.31499802136921251</v>
      </c>
      <c r="P13" s="522">
        <v>0.27097551184263358</v>
      </c>
      <c r="Q13" s="522">
        <v>0.28812763960581894</v>
      </c>
      <c r="R13" s="522">
        <v>2.6618398637137872E-2</v>
      </c>
      <c r="S13" s="522">
        <v>0.18657661460531871</v>
      </c>
      <c r="T13" s="508"/>
      <c r="U13" s="523">
        <v>0.23745498199279708</v>
      </c>
      <c r="V13" s="522">
        <v>0.31342465753424653</v>
      </c>
      <c r="W13" s="522">
        <v>0.26567332021366347</v>
      </c>
      <c r="X13" s="522">
        <v>0.3670434265318262</v>
      </c>
      <c r="Y13" s="522">
        <v>0.29265644088502785</v>
      </c>
      <c r="Z13" s="492"/>
      <c r="AA13" s="523">
        <v>0.4406146179401994</v>
      </c>
      <c r="AB13" s="523">
        <v>0.31492168178070901</v>
      </c>
      <c r="AC13" s="523">
        <v>0.26504481434058874</v>
      </c>
      <c r="AD13" s="523">
        <v>0.40331753554502359</v>
      </c>
      <c r="AE13" s="523">
        <v>0.35374505264730038</v>
      </c>
      <c r="AF13" s="525"/>
      <c r="AG13" s="523">
        <v>0.31288888888888894</v>
      </c>
      <c r="AH13" s="523" t="e">
        <v>#DIV/0!</v>
      </c>
      <c r="AI13" s="523" t="e">
        <v>#DIV/0!</v>
      </c>
      <c r="AJ13" s="523" t="e">
        <v>#DIV/0!</v>
      </c>
      <c r="AK13" s="478"/>
      <c r="AL13" s="523">
        <v>0.27698512329094449</v>
      </c>
      <c r="AM13" s="523">
        <v>0.26281994898407957</v>
      </c>
      <c r="AN13" s="523">
        <v>0.18657661460531871</v>
      </c>
      <c r="AO13" s="523">
        <v>0.29265644088502785</v>
      </c>
      <c r="AP13" s="524">
        <v>0.35374505264730038</v>
      </c>
      <c r="AR13" s="146" t="s">
        <v>290</v>
      </c>
      <c r="AS13" s="523">
        <v>-0.12772572905131047</v>
      </c>
      <c r="AT13" s="524">
        <v>-9.0428646656134648E-2</v>
      </c>
    </row>
    <row r="14" spans="1:46" x14ac:dyDescent="0.25">
      <c r="A14" s="155"/>
      <c r="B14" s="175" t="s">
        <v>285</v>
      </c>
      <c r="C14" s="505">
        <v>-46.800000000000004</v>
      </c>
      <c r="D14" s="505">
        <v>-94.699999999999989</v>
      </c>
      <c r="E14" s="505">
        <v>-72.599999999999994</v>
      </c>
      <c r="F14" s="505">
        <v>-127.6</v>
      </c>
      <c r="G14" s="505">
        <v>-341.7</v>
      </c>
      <c r="H14" s="482"/>
      <c r="I14" s="505">
        <v>-47.1</v>
      </c>
      <c r="J14" s="505">
        <v>-54.899999999999991</v>
      </c>
      <c r="K14" s="505">
        <v>-63.900000000000006</v>
      </c>
      <c r="L14" s="505">
        <v>-141</v>
      </c>
      <c r="M14" s="505">
        <v>-306.89999999999998</v>
      </c>
      <c r="N14" s="506"/>
      <c r="O14" s="507">
        <v>-49.5</v>
      </c>
      <c r="P14" s="505">
        <v>-50</v>
      </c>
      <c r="Q14" s="505">
        <v>-52.900000000000006</v>
      </c>
      <c r="R14" s="505">
        <v>-126.29999999999998</v>
      </c>
      <c r="S14" s="505">
        <v>-278.7</v>
      </c>
      <c r="T14" s="508"/>
      <c r="U14" s="505">
        <v>-46.099999999999994</v>
      </c>
      <c r="V14" s="505">
        <v>-57.300000000000004</v>
      </c>
      <c r="W14" s="505">
        <v>-36.700000000000003</v>
      </c>
      <c r="X14" s="505">
        <v>-55.199999999999989</v>
      </c>
      <c r="Y14" s="505">
        <v>-195.3</v>
      </c>
      <c r="Z14" s="492"/>
      <c r="AA14" s="505">
        <v>-42.9</v>
      </c>
      <c r="AB14" s="505">
        <v>-46.6</v>
      </c>
      <c r="AC14" s="505">
        <v>-51.59999999999998</v>
      </c>
      <c r="AD14" s="505">
        <v>-82.100000000000023</v>
      </c>
      <c r="AE14" s="505">
        <v>-223.20000000000002</v>
      </c>
      <c r="AF14" s="525"/>
      <c r="AG14" s="505">
        <v>-47.2</v>
      </c>
      <c r="AH14" s="505"/>
      <c r="AI14" s="505"/>
      <c r="AJ14" s="505"/>
      <c r="AK14" s="478"/>
      <c r="AL14" s="507">
        <v>-341.7</v>
      </c>
      <c r="AM14" s="507">
        <v>-306.89999999999998</v>
      </c>
      <c r="AN14" s="507">
        <v>-278.7</v>
      </c>
      <c r="AO14" s="507">
        <v>-195.3</v>
      </c>
      <c r="AP14" s="526">
        <v>-223.20000000000002</v>
      </c>
      <c r="AR14" s="146" t="s">
        <v>291</v>
      </c>
      <c r="AS14" s="628">
        <v>-1</v>
      </c>
      <c r="AT14" s="634">
        <v>-1</v>
      </c>
    </row>
    <row r="15" spans="1:46" x14ac:dyDescent="0.25">
      <c r="A15" s="155"/>
      <c r="B15" s="529" t="s">
        <v>32</v>
      </c>
      <c r="C15" s="530">
        <v>88.190249376835084</v>
      </c>
      <c r="D15" s="530">
        <v>122.77685327062845</v>
      </c>
      <c r="E15" s="530">
        <v>83.738243471500795</v>
      </c>
      <c r="F15" s="530">
        <v>201.79955936308488</v>
      </c>
      <c r="G15" s="530">
        <v>496.50490548204959</v>
      </c>
      <c r="H15" s="482"/>
      <c r="I15" s="530">
        <v>36.956217498633208</v>
      </c>
      <c r="J15" s="530">
        <v>-55.433376012029967</v>
      </c>
      <c r="K15" s="530">
        <v>24.174776886413348</v>
      </c>
      <c r="L15" s="530">
        <v>28.836193575267288</v>
      </c>
      <c r="M15" s="530">
        <v>34.476811948283967</v>
      </c>
      <c r="N15" s="531"/>
      <c r="O15" s="532">
        <v>35.108329425647675</v>
      </c>
      <c r="P15" s="532">
        <v>20.843980034352342</v>
      </c>
      <c r="Q15" s="532">
        <v>12.076312870000002</v>
      </c>
      <c r="R15" s="532">
        <v>-111.29658333000005</v>
      </c>
      <c r="S15" s="532">
        <v>-43.267961000000014</v>
      </c>
      <c r="T15" s="508"/>
      <c r="U15" s="532">
        <v>61.353206999999991</v>
      </c>
      <c r="V15" s="532">
        <v>69.244341759999969</v>
      </c>
      <c r="W15" s="532">
        <v>68.888032840000122</v>
      </c>
      <c r="X15" s="532">
        <v>66.326408709999953</v>
      </c>
      <c r="Y15" s="532">
        <v>265.81199031</v>
      </c>
      <c r="Z15" s="492"/>
      <c r="AA15" s="532">
        <v>67.848564560000028</v>
      </c>
      <c r="AB15" s="532">
        <v>72.44272730000003</v>
      </c>
      <c r="AC15" s="532">
        <v>42.237335179999889</v>
      </c>
      <c r="AD15" s="532">
        <v>92.585587509999939</v>
      </c>
      <c r="AE15" s="532">
        <v>275.11421454999993</v>
      </c>
      <c r="AF15" s="492"/>
      <c r="AG15" s="532">
        <v>31.461802399999996</v>
      </c>
      <c r="AH15" s="532">
        <v>0</v>
      </c>
      <c r="AI15" s="532">
        <v>0</v>
      </c>
      <c r="AJ15" s="532">
        <v>0</v>
      </c>
      <c r="AK15" s="527"/>
      <c r="AL15" s="532">
        <v>496.50490548204959</v>
      </c>
      <c r="AM15" s="532">
        <v>34.476811948283967</v>
      </c>
      <c r="AN15" s="532">
        <v>-43.267961000000014</v>
      </c>
      <c r="AO15" s="532">
        <v>265.81199031</v>
      </c>
      <c r="AP15" s="533">
        <v>275.11421454999993</v>
      </c>
      <c r="AS15" s="624">
        <v>-0.53629376532826112</v>
      </c>
      <c r="AT15" s="653">
        <v>-0.66018682555098662</v>
      </c>
    </row>
    <row r="16" spans="1:46" x14ac:dyDescent="0.25">
      <c r="A16" s="520"/>
      <c r="B16" s="534" t="s">
        <v>33</v>
      </c>
      <c r="C16" s="535">
        <v>0.21032732978019336</v>
      </c>
      <c r="D16" s="535">
        <v>0.12271549552286702</v>
      </c>
      <c r="E16" s="535">
        <v>0.25561124380799993</v>
      </c>
      <c r="F16" s="535">
        <v>0.17365076960940104</v>
      </c>
      <c r="G16" s="535">
        <v>0.17064956366456421</v>
      </c>
      <c r="H16" s="482"/>
      <c r="I16" s="535">
        <v>0.18864837926816339</v>
      </c>
      <c r="J16" s="535">
        <v>-0.49513095216940406</v>
      </c>
      <c r="K16" s="535">
        <v>0.11119952569647351</v>
      </c>
      <c r="L16" s="535">
        <v>4.7141071726773398E-2</v>
      </c>
      <c r="M16" s="535">
        <v>3.0325280981866449E-2</v>
      </c>
      <c r="N16" s="506"/>
      <c r="O16" s="536">
        <v>0.13893284299821004</v>
      </c>
      <c r="P16" s="535">
        <v>8.3677157905870492E-2</v>
      </c>
      <c r="Q16" s="535">
        <v>5.6669699061473504E-2</v>
      </c>
      <c r="R16" s="535">
        <v>-0.23700294576235106</v>
      </c>
      <c r="S16" s="535">
        <v>-3.6528460109750964E-2</v>
      </c>
      <c r="T16" s="508"/>
      <c r="U16" s="536">
        <v>0.14730661944777909</v>
      </c>
      <c r="V16" s="535">
        <v>0.18971052536986294</v>
      </c>
      <c r="W16" s="535">
        <v>0.19366891436603911</v>
      </c>
      <c r="X16" s="535">
        <v>0.19728259580606766</v>
      </c>
      <c r="Y16" s="535">
        <v>0.18040721481607166</v>
      </c>
      <c r="Z16" s="492"/>
      <c r="AA16" s="536">
        <v>0.28176314186046519</v>
      </c>
      <c r="AB16" s="536">
        <v>0.19907317202528174</v>
      </c>
      <c r="AC16" s="536">
        <v>0.1352027374519843</v>
      </c>
      <c r="AD16" s="536">
        <v>0.21939712680094775</v>
      </c>
      <c r="AE16" s="536">
        <v>0.20544710219550441</v>
      </c>
      <c r="AF16" s="492"/>
      <c r="AG16" s="536">
        <v>0.13983023288888888</v>
      </c>
      <c r="AH16" s="536" t="e">
        <v>#DIV/0!</v>
      </c>
      <c r="AI16" s="536" t="e">
        <v>#DIV/0!</v>
      </c>
      <c r="AJ16" s="536" t="e">
        <v>#DIV/0!</v>
      </c>
      <c r="AK16" s="537"/>
      <c r="AL16" s="536">
        <v>0.17064956366456421</v>
      </c>
      <c r="AM16" s="536">
        <v>3.0325280981866449E-2</v>
      </c>
      <c r="AN16" s="536">
        <v>-3.6528460109750964E-2</v>
      </c>
      <c r="AO16" s="536">
        <v>0.18040721481607166</v>
      </c>
      <c r="AP16" s="538">
        <v>0.20544710219550441</v>
      </c>
      <c r="AS16" s="523">
        <v>-0.14193290897157632</v>
      </c>
      <c r="AT16" s="524">
        <v>-7.9566893912058873E-2</v>
      </c>
    </row>
    <row r="17" spans="1:46" ht="14.55" customHeight="1" x14ac:dyDescent="0.25">
      <c r="A17" s="155"/>
      <c r="B17" s="539" t="s">
        <v>34</v>
      </c>
      <c r="C17" s="540">
        <v>-10.9</v>
      </c>
      <c r="D17" s="540">
        <v>-11.6</v>
      </c>
      <c r="E17" s="540">
        <v>-11.999999999999998</v>
      </c>
      <c r="F17" s="540">
        <v>-12.600000000000003</v>
      </c>
      <c r="G17" s="540">
        <v>-47.1</v>
      </c>
      <c r="H17" s="482"/>
      <c r="I17" s="540">
        <v>-12.5</v>
      </c>
      <c r="J17" s="540">
        <v>-14.5</v>
      </c>
      <c r="K17" s="540">
        <v>-12.5</v>
      </c>
      <c r="L17" s="540">
        <v>-17.5</v>
      </c>
      <c r="M17" s="540">
        <v>-57</v>
      </c>
      <c r="N17" s="506"/>
      <c r="O17" s="541">
        <v>-13</v>
      </c>
      <c r="P17" s="541">
        <v>-15</v>
      </c>
      <c r="Q17" s="541">
        <v>-14</v>
      </c>
      <c r="R17" s="541">
        <v>-14.299999999999997</v>
      </c>
      <c r="S17" s="541">
        <v>-56.3</v>
      </c>
      <c r="T17" s="508"/>
      <c r="U17" s="541">
        <v>-13.6</v>
      </c>
      <c r="V17" s="541">
        <v>-13.200000000000001</v>
      </c>
      <c r="W17" s="541">
        <v>-13.599999999999996</v>
      </c>
      <c r="X17" s="541">
        <v>-11.700000000000001</v>
      </c>
      <c r="Y17" s="541">
        <v>-52.1</v>
      </c>
      <c r="Z17" s="492"/>
      <c r="AA17" s="541">
        <v>-12.8</v>
      </c>
      <c r="AB17" s="541">
        <v>-14.2</v>
      </c>
      <c r="AC17" s="541">
        <v>-11.600000000000001</v>
      </c>
      <c r="AD17" s="541">
        <v>-12.7</v>
      </c>
      <c r="AE17" s="541">
        <v>-51.3</v>
      </c>
      <c r="AF17" s="492"/>
      <c r="AG17" s="541">
        <v>-11.5</v>
      </c>
      <c r="AH17" s="541"/>
      <c r="AI17" s="541"/>
      <c r="AJ17" s="541"/>
      <c r="AK17" s="542"/>
      <c r="AL17" s="541">
        <v>-47.1</v>
      </c>
      <c r="AM17" s="541">
        <v>-57</v>
      </c>
      <c r="AN17" s="541">
        <v>-56.3</v>
      </c>
      <c r="AO17" s="541">
        <v>-52.1</v>
      </c>
      <c r="AP17" s="543">
        <v>-51.3</v>
      </c>
      <c r="AS17" s="625">
        <v>-0.1015625</v>
      </c>
      <c r="AT17" s="654">
        <v>-9.4488188976377896E-2</v>
      </c>
    </row>
    <row r="18" spans="1:46" ht="14.55" customHeight="1" x14ac:dyDescent="0.25">
      <c r="A18" s="155"/>
      <c r="B18" s="539" t="s">
        <v>278</v>
      </c>
      <c r="C18" s="540">
        <v>-6.4</v>
      </c>
      <c r="D18" s="540">
        <v>1.7922088599999997</v>
      </c>
      <c r="E18" s="540">
        <v>-9.569246398551039</v>
      </c>
      <c r="F18" s="540">
        <v>5.6668012111339099</v>
      </c>
      <c r="G18" s="540">
        <v>-8.5102363274171307</v>
      </c>
      <c r="H18" s="482"/>
      <c r="I18" s="540">
        <v>-18.396565244463638</v>
      </c>
      <c r="J18" s="540">
        <v>3.5270000000000001</v>
      </c>
      <c r="K18" s="540">
        <v>-0.31054499999999896</v>
      </c>
      <c r="L18" s="540">
        <v>6.057804</v>
      </c>
      <c r="M18" s="540">
        <v>-9.1223062444636369</v>
      </c>
      <c r="N18" s="506"/>
      <c r="O18" s="541">
        <v>0.97305600000000003</v>
      </c>
      <c r="P18" s="541">
        <v>4.04950235</v>
      </c>
      <c r="Q18" s="541">
        <v>-5.6204065199999995</v>
      </c>
      <c r="R18" s="541">
        <v>-4.7198543599999994</v>
      </c>
      <c r="S18" s="541">
        <v>-5.3177025299999992</v>
      </c>
      <c r="T18" s="508"/>
      <c r="U18" s="541">
        <v>6.6750666500000007</v>
      </c>
      <c r="V18" s="541">
        <v>-3.5435572100000008</v>
      </c>
      <c r="W18" s="541">
        <v>-4.5657119999999995</v>
      </c>
      <c r="X18" s="541">
        <v>7.3631229299999994</v>
      </c>
      <c r="Y18" s="541">
        <v>5.928920370000001</v>
      </c>
      <c r="Z18" s="492"/>
      <c r="AA18" s="541">
        <v>3.1230799499999997</v>
      </c>
      <c r="AB18" s="541">
        <v>1.1515160000000004</v>
      </c>
      <c r="AC18" s="541">
        <v>-4.7417000000000264E-2</v>
      </c>
      <c r="AD18" s="541">
        <v>-1.04709444</v>
      </c>
      <c r="AE18" s="541">
        <v>3.28008451</v>
      </c>
      <c r="AF18" s="492"/>
      <c r="AG18" s="541">
        <v>9.3350000000000044E-2</v>
      </c>
      <c r="AH18" s="541"/>
      <c r="AI18" s="541"/>
      <c r="AJ18" s="541"/>
      <c r="AK18" s="542"/>
      <c r="AL18" s="541">
        <v>-8.5102363274171307</v>
      </c>
      <c r="AM18" s="541">
        <v>-9.1223062444636369</v>
      </c>
      <c r="AN18" s="541">
        <v>-5.3177025299999992</v>
      </c>
      <c r="AO18" s="541">
        <v>5.928920370000001</v>
      </c>
      <c r="AP18" s="543">
        <v>3.28008451</v>
      </c>
      <c r="AS18" s="625">
        <v>-0.97010963488142532</v>
      </c>
      <c r="AT18" s="654">
        <v>-1.0891514618299378</v>
      </c>
    </row>
    <row r="19" spans="1:46" x14ac:dyDescent="0.25">
      <c r="A19" s="155"/>
      <c r="B19" s="544" t="s">
        <v>35</v>
      </c>
      <c r="C19" s="545">
        <v>70.890249376835087</v>
      </c>
      <c r="D19" s="545">
        <v>112.96906213062846</v>
      </c>
      <c r="E19" s="545">
        <v>62.168997072949757</v>
      </c>
      <c r="F19" s="545">
        <v>194.86636057421879</v>
      </c>
      <c r="G19" s="545">
        <v>440.89466915463248</v>
      </c>
      <c r="H19" s="482"/>
      <c r="I19" s="545">
        <v>6.0596522541695705</v>
      </c>
      <c r="J19" s="545">
        <v>-66.406376012029966</v>
      </c>
      <c r="K19" s="545">
        <v>11.364231886413348</v>
      </c>
      <c r="L19" s="545">
        <v>17.393997575267289</v>
      </c>
      <c r="M19" s="545">
        <v>-31.645494296179663</v>
      </c>
      <c r="O19" s="546">
        <v>23.081385425647674</v>
      </c>
      <c r="P19" s="546">
        <v>9.8934823843523425</v>
      </c>
      <c r="Q19" s="546">
        <v>-7.5440936499999971</v>
      </c>
      <c r="R19" s="546">
        <v>-130.31643769000004</v>
      </c>
      <c r="S19" s="546">
        <v>-104.88566353000002</v>
      </c>
      <c r="T19" s="508"/>
      <c r="U19" s="546">
        <v>54.428273649999994</v>
      </c>
      <c r="V19" s="546">
        <v>52.500784549999963</v>
      </c>
      <c r="W19" s="546">
        <v>50.722320840000123</v>
      </c>
      <c r="X19" s="546">
        <v>61.989531639999953</v>
      </c>
      <c r="Y19" s="546">
        <v>219.64091067999999</v>
      </c>
      <c r="Z19" s="492"/>
      <c r="AA19" s="546">
        <v>58.171644510000029</v>
      </c>
      <c r="AB19" s="546">
        <v>59.394243300000028</v>
      </c>
      <c r="AC19" s="546">
        <v>30.589918179999888</v>
      </c>
      <c r="AD19" s="546">
        <v>78.838493069999942</v>
      </c>
      <c r="AE19" s="546">
        <v>227.09429905999994</v>
      </c>
      <c r="AF19" s="492"/>
      <c r="AG19" s="546">
        <v>20.055152399999997</v>
      </c>
      <c r="AH19" s="546">
        <v>0</v>
      </c>
      <c r="AI19" s="546">
        <v>0</v>
      </c>
      <c r="AJ19" s="546">
        <v>0</v>
      </c>
      <c r="AK19" s="547"/>
      <c r="AL19" s="546">
        <v>440.89466915463248</v>
      </c>
      <c r="AM19" s="546">
        <v>-31.645494296179663</v>
      </c>
      <c r="AN19" s="546">
        <v>-104.88566353000002</v>
      </c>
      <c r="AO19" s="546">
        <v>219.64091067999999</v>
      </c>
      <c r="AP19" s="548">
        <v>227.09429905999994</v>
      </c>
      <c r="AS19" s="626">
        <v>-0.65524178370868635</v>
      </c>
      <c r="AT19" s="655">
        <v>-0.74561725346280761</v>
      </c>
    </row>
    <row r="20" spans="1:46" x14ac:dyDescent="0.25">
      <c r="A20" s="155"/>
      <c r="B20" s="539" t="s">
        <v>212</v>
      </c>
      <c r="C20" s="549">
        <v>5.6379999999999999</v>
      </c>
      <c r="D20" s="549">
        <v>8.2876989396230485</v>
      </c>
      <c r="E20" s="549">
        <v>12.670601447409698</v>
      </c>
      <c r="F20" s="549">
        <v>11.996404659319944</v>
      </c>
      <c r="G20" s="549">
        <v>38.592705046352698</v>
      </c>
      <c r="H20" s="482"/>
      <c r="I20" s="549">
        <v>16.701999614570333</v>
      </c>
      <c r="J20" s="549">
        <v>5.2589954896712925</v>
      </c>
      <c r="K20" s="549">
        <v>6.6977041527828618</v>
      </c>
      <c r="L20" s="549">
        <v>4.8640815330180587</v>
      </c>
      <c r="M20" s="549">
        <v>33.522780790042539</v>
      </c>
      <c r="N20" s="506"/>
      <c r="O20" s="550">
        <v>4.0128128876669988</v>
      </c>
      <c r="P20" s="550">
        <v>4.3692321023330019</v>
      </c>
      <c r="Q20" s="550">
        <v>4.7440936499999964</v>
      </c>
      <c r="R20" s="550">
        <v>9.5893702300000037</v>
      </c>
      <c r="S20" s="550">
        <v>22.715508870000001</v>
      </c>
      <c r="T20" s="508"/>
      <c r="U20" s="550">
        <v>4.8566705300000006</v>
      </c>
      <c r="V20" s="550">
        <v>5.3386106</v>
      </c>
      <c r="W20" s="550">
        <v>5.3172273399999996</v>
      </c>
      <c r="X20" s="550">
        <v>13.75456142</v>
      </c>
      <c r="Y20" s="550">
        <v>29.267069889999998</v>
      </c>
      <c r="Z20" s="492"/>
      <c r="AA20" s="550">
        <v>8.3923172599999987</v>
      </c>
      <c r="AB20" s="550">
        <v>10.651309139999997</v>
      </c>
      <c r="AC20" s="550">
        <v>11.93780606</v>
      </c>
      <c r="AD20" s="550">
        <v>17.315376000000001</v>
      </c>
      <c r="AE20" s="550">
        <v>48.296808459999994</v>
      </c>
      <c r="AF20" s="492"/>
      <c r="AG20" s="550">
        <v>11.965142200000001</v>
      </c>
      <c r="AH20" s="550"/>
      <c r="AI20" s="550"/>
      <c r="AJ20" s="550"/>
      <c r="AK20" s="551"/>
      <c r="AL20" s="550">
        <v>38.592705046352698</v>
      </c>
      <c r="AM20" s="550">
        <v>33.522780790042539</v>
      </c>
      <c r="AN20" s="550">
        <v>22.715508870000001</v>
      </c>
      <c r="AO20" s="550">
        <v>29.267069889999998</v>
      </c>
      <c r="AP20" s="552">
        <v>48.296808459999994</v>
      </c>
      <c r="AS20" s="627">
        <v>0.42572567615252455</v>
      </c>
      <c r="AT20" s="630">
        <v>-0.30898744560903557</v>
      </c>
    </row>
    <row r="21" spans="1:46" x14ac:dyDescent="0.25">
      <c r="A21" s="155"/>
      <c r="B21" s="175" t="s">
        <v>217</v>
      </c>
      <c r="C21" s="505">
        <v>-28.2950766337418</v>
      </c>
      <c r="D21" s="505">
        <v>-34.696938917894492</v>
      </c>
      <c r="E21" s="505">
        <v>-28.650865304028912</v>
      </c>
      <c r="F21" s="505">
        <v>-25.864521977121782</v>
      </c>
      <c r="G21" s="505">
        <v>-117.50740283278698</v>
      </c>
      <c r="H21" s="482"/>
      <c r="I21" s="505">
        <v>-27.774000000000001</v>
      </c>
      <c r="J21" s="505">
        <v>-31.14</v>
      </c>
      <c r="K21" s="505">
        <v>-34.739000000000004</v>
      </c>
      <c r="L21" s="505">
        <v>-39.131</v>
      </c>
      <c r="M21" s="505">
        <v>-132.80000000000001</v>
      </c>
      <c r="N21" s="506"/>
      <c r="O21" s="507">
        <v>-36.200000000000003</v>
      </c>
      <c r="P21" s="507">
        <v>-35.700000000000003</v>
      </c>
      <c r="Q21" s="507">
        <v>-37.5</v>
      </c>
      <c r="R21" s="507">
        <v>-35.299999999999983</v>
      </c>
      <c r="S21" s="507">
        <v>-144.69999999999999</v>
      </c>
      <c r="T21" s="508"/>
      <c r="U21" s="507">
        <v>-34.9</v>
      </c>
      <c r="V21" s="507">
        <v>-35.699999999999996</v>
      </c>
      <c r="W21" s="507">
        <v>-36.300000000000004</v>
      </c>
      <c r="X21" s="507">
        <v>-36.6</v>
      </c>
      <c r="Y21" s="507">
        <v>-143.5</v>
      </c>
      <c r="Z21" s="492"/>
      <c r="AA21" s="507">
        <v>-34</v>
      </c>
      <c r="AB21" s="507">
        <v>-44.3</v>
      </c>
      <c r="AC21" s="507">
        <v>-38.799999999999997</v>
      </c>
      <c r="AD21" s="507">
        <v>-40</v>
      </c>
      <c r="AE21" s="507">
        <v>-157.1</v>
      </c>
      <c r="AF21" s="492"/>
      <c r="AG21" s="507">
        <v>-39.299999999999997</v>
      </c>
      <c r="AH21" s="507"/>
      <c r="AI21" s="507"/>
      <c r="AJ21" s="507"/>
      <c r="AK21" s="527"/>
      <c r="AL21" s="507">
        <v>-117.50740283278698</v>
      </c>
      <c r="AM21" s="507">
        <v>-132.80000000000001</v>
      </c>
      <c r="AN21" s="507">
        <v>-144.69999999999999</v>
      </c>
      <c r="AO21" s="507">
        <v>-143.5</v>
      </c>
      <c r="AP21" s="526">
        <v>-157.1</v>
      </c>
      <c r="AS21" s="628">
        <v>0.15588235294117636</v>
      </c>
      <c r="AT21" s="656">
        <v>-1.7500000000000071E-2</v>
      </c>
    </row>
    <row r="22" spans="1:46" x14ac:dyDescent="0.25">
      <c r="A22" s="155"/>
      <c r="B22" s="175" t="s">
        <v>276</v>
      </c>
      <c r="C22" s="505">
        <v>-7.0328154971855277</v>
      </c>
      <c r="D22" s="505">
        <v>-1.1909371553249468</v>
      </c>
      <c r="E22" s="505">
        <v>4.268644831646597</v>
      </c>
      <c r="F22" s="505">
        <v>23.813793662619506</v>
      </c>
      <c r="G22" s="505">
        <v>19.85868584175563</v>
      </c>
      <c r="H22" s="482"/>
      <c r="I22" s="505">
        <v>-4.1829999999999998</v>
      </c>
      <c r="J22" s="505">
        <v>-9.2279999999999998</v>
      </c>
      <c r="K22" s="505">
        <v>-1.0090000000000021</v>
      </c>
      <c r="L22" s="505">
        <v>-50.300000000000004</v>
      </c>
      <c r="M22" s="505">
        <v>-64.7</v>
      </c>
      <c r="N22" s="506"/>
      <c r="O22" s="507">
        <v>8.6999999999999993</v>
      </c>
      <c r="P22" s="507">
        <v>-5.3999999999999995</v>
      </c>
      <c r="Q22" s="507">
        <v>1.2000000000000002</v>
      </c>
      <c r="R22" s="507">
        <v>8.5</v>
      </c>
      <c r="S22" s="507">
        <v>13</v>
      </c>
      <c r="T22" s="508"/>
      <c r="U22" s="507">
        <v>11.4</v>
      </c>
      <c r="V22" s="507">
        <v>10.1</v>
      </c>
      <c r="W22" s="507">
        <v>6.6000000000000005</v>
      </c>
      <c r="X22" s="507">
        <v>-9.9999999999999867E-2</v>
      </c>
      <c r="Y22" s="507">
        <v>28</v>
      </c>
      <c r="Z22" s="492"/>
      <c r="AA22" s="507">
        <v>-5</v>
      </c>
      <c r="AB22" s="507">
        <v>19.3</v>
      </c>
      <c r="AC22" s="507">
        <v>11.099999999999998</v>
      </c>
      <c r="AD22" s="507">
        <v>-3.2999999999999972</v>
      </c>
      <c r="AE22" s="507">
        <v>22.1</v>
      </c>
      <c r="AF22" s="492"/>
      <c r="AG22" s="507">
        <v>13.4</v>
      </c>
      <c r="AH22" s="507"/>
      <c r="AI22" s="507"/>
      <c r="AJ22" s="507"/>
      <c r="AK22" s="528"/>
      <c r="AL22" s="507">
        <v>19.85868584175563</v>
      </c>
      <c r="AM22" s="507">
        <v>-64.7</v>
      </c>
      <c r="AN22" s="507">
        <v>13</v>
      </c>
      <c r="AO22" s="507">
        <v>28</v>
      </c>
      <c r="AP22" s="526">
        <v>22.1</v>
      </c>
      <c r="AS22" s="628">
        <v>-3.68</v>
      </c>
      <c r="AT22" s="656">
        <v>-5.0606060606060641</v>
      </c>
    </row>
    <row r="23" spans="1:46" x14ac:dyDescent="0.25">
      <c r="A23" s="155"/>
      <c r="B23" s="175" t="s">
        <v>279</v>
      </c>
      <c r="C23" s="505">
        <v>0</v>
      </c>
      <c r="D23" s="505">
        <v>0</v>
      </c>
      <c r="E23" s="505">
        <v>0</v>
      </c>
      <c r="F23" s="505">
        <v>0</v>
      </c>
      <c r="G23" s="505">
        <v>0</v>
      </c>
      <c r="H23" s="482"/>
      <c r="I23" s="505">
        <v>0</v>
      </c>
      <c r="J23" s="505">
        <v>0</v>
      </c>
      <c r="K23" s="505">
        <v>0</v>
      </c>
      <c r="L23" s="505">
        <v>0</v>
      </c>
      <c r="M23" s="505">
        <v>0</v>
      </c>
      <c r="N23" s="506"/>
      <c r="O23" s="507">
        <v>0</v>
      </c>
      <c r="P23" s="507">
        <v>0</v>
      </c>
      <c r="Q23" s="507">
        <v>0</v>
      </c>
      <c r="R23" s="507">
        <v>0</v>
      </c>
      <c r="S23" s="507">
        <v>0</v>
      </c>
      <c r="T23" s="508"/>
      <c r="U23" s="507">
        <v>0</v>
      </c>
      <c r="V23" s="507">
        <v>0</v>
      </c>
      <c r="W23" s="507">
        <v>-1.2</v>
      </c>
      <c r="X23" s="507">
        <v>1.2</v>
      </c>
      <c r="Y23" s="507">
        <v>0</v>
      </c>
      <c r="Z23" s="492"/>
      <c r="AA23" s="507">
        <v>0</v>
      </c>
      <c r="AB23" s="507">
        <v>0</v>
      </c>
      <c r="AC23" s="507">
        <v>-1.4</v>
      </c>
      <c r="AD23" s="507">
        <v>-0.10000000000000009</v>
      </c>
      <c r="AE23" s="507">
        <v>-1.5</v>
      </c>
      <c r="AF23" s="492"/>
      <c r="AG23" s="507">
        <v>4.3</v>
      </c>
      <c r="AH23" s="507"/>
      <c r="AI23" s="507"/>
      <c r="AJ23" s="507"/>
      <c r="AK23" s="528"/>
      <c r="AL23" s="507">
        <v>0</v>
      </c>
      <c r="AM23" s="507">
        <v>0</v>
      </c>
      <c r="AN23" s="507">
        <v>0</v>
      </c>
      <c r="AO23" s="507">
        <v>0</v>
      </c>
      <c r="AP23" s="526">
        <v>-1.5</v>
      </c>
      <c r="AS23" s="628" t="e">
        <v>#DIV/0!</v>
      </c>
      <c r="AT23" s="656">
        <v>-43.999999999999957</v>
      </c>
    </row>
    <row r="24" spans="1:46" x14ac:dyDescent="0.25">
      <c r="A24" s="155"/>
      <c r="B24" s="544" t="s">
        <v>277</v>
      </c>
      <c r="C24" s="545">
        <v>41.200357245907767</v>
      </c>
      <c r="D24" s="545">
        <v>85.368884997032069</v>
      </c>
      <c r="E24" s="545">
        <v>50.457378047977144</v>
      </c>
      <c r="F24" s="545">
        <v>204.81203691903647</v>
      </c>
      <c r="G24" s="545">
        <v>381.83865720995385</v>
      </c>
      <c r="H24" s="482"/>
      <c r="I24" s="545">
        <v>-9.1953481312600971</v>
      </c>
      <c r="J24" s="545">
        <v>-101.51538052235867</v>
      </c>
      <c r="K24" s="545">
        <v>-17.686063960803793</v>
      </c>
      <c r="L24" s="545">
        <v>-67.172920891714654</v>
      </c>
      <c r="M24" s="545">
        <v>-195.62271350613713</v>
      </c>
      <c r="N24" s="506"/>
      <c r="O24" s="546">
        <v>-0.40580168668532934</v>
      </c>
      <c r="P24" s="546">
        <v>-26.837285513314658</v>
      </c>
      <c r="Q24" s="546">
        <v>-39.099999999999994</v>
      </c>
      <c r="R24" s="546">
        <v>-147.52706746000001</v>
      </c>
      <c r="S24" s="546">
        <v>-213.87015466</v>
      </c>
      <c r="T24" s="508"/>
      <c r="U24" s="546">
        <v>35.784944179999997</v>
      </c>
      <c r="V24" s="546">
        <v>32.239395149999972</v>
      </c>
      <c r="W24" s="546">
        <v>25.139548180000123</v>
      </c>
      <c r="X24" s="546">
        <v>40.244093059999955</v>
      </c>
      <c r="Y24" s="546">
        <v>133.40798056999998</v>
      </c>
      <c r="Z24" s="492"/>
      <c r="AA24" s="546">
        <v>27.56396177000002</v>
      </c>
      <c r="AB24" s="546">
        <v>45.045552440000023</v>
      </c>
      <c r="AC24" s="546">
        <v>13.427724239999884</v>
      </c>
      <c r="AD24" s="546">
        <v>52.753869069999944</v>
      </c>
      <c r="AE24" s="546">
        <v>138.89110751999993</v>
      </c>
      <c r="AF24" s="492"/>
      <c r="AG24" s="546">
        <v>10.420294600000002</v>
      </c>
      <c r="AH24" s="546">
        <v>0</v>
      </c>
      <c r="AI24" s="546">
        <v>0</v>
      </c>
      <c r="AJ24" s="546">
        <v>0</v>
      </c>
      <c r="AK24" s="553"/>
      <c r="AL24" s="546">
        <v>381.83865720995385</v>
      </c>
      <c r="AM24" s="546">
        <v>-195.62271350613713</v>
      </c>
      <c r="AN24" s="546">
        <v>-213.87015466</v>
      </c>
      <c r="AO24" s="546">
        <v>133.40798056999998</v>
      </c>
      <c r="AP24" s="548">
        <v>138.89110751999993</v>
      </c>
      <c r="AS24" s="626">
        <v>-0.62195947422401332</v>
      </c>
      <c r="AT24" s="655">
        <v>-0.802473358187754</v>
      </c>
    </row>
    <row r="25" spans="1:46" x14ac:dyDescent="0.25">
      <c r="A25" s="155"/>
      <c r="B25" s="554"/>
      <c r="C25" s="530"/>
      <c r="D25" s="530"/>
      <c r="E25" s="530"/>
      <c r="F25" s="530"/>
      <c r="G25" s="530"/>
      <c r="H25" s="482"/>
      <c r="I25" s="530"/>
      <c r="J25" s="530"/>
      <c r="K25" s="530"/>
      <c r="L25" s="530"/>
      <c r="M25" s="530"/>
      <c r="N25" s="506"/>
      <c r="O25" s="532"/>
      <c r="P25" s="532"/>
      <c r="Q25" s="532"/>
      <c r="R25" s="532"/>
      <c r="S25" s="532"/>
      <c r="T25" s="508"/>
      <c r="U25" s="532"/>
      <c r="V25" s="532"/>
      <c r="W25" s="532"/>
      <c r="X25" s="532"/>
      <c r="Y25" s="532"/>
      <c r="Z25" s="492"/>
      <c r="AA25" s="532"/>
      <c r="AB25" s="532"/>
      <c r="AC25" s="532"/>
      <c r="AD25" s="532"/>
      <c r="AE25" s="532"/>
      <c r="AF25" s="492"/>
      <c r="AG25" s="532"/>
      <c r="AH25" s="532"/>
      <c r="AI25" s="532"/>
      <c r="AJ25" s="532"/>
      <c r="AK25" s="553"/>
      <c r="AL25" s="532"/>
      <c r="AM25" s="532"/>
      <c r="AN25" s="532"/>
      <c r="AO25" s="532"/>
      <c r="AP25" s="533"/>
      <c r="AS25" s="624"/>
      <c r="AT25" s="653"/>
    </row>
    <row r="26" spans="1:46" ht="15.6" customHeight="1" x14ac:dyDescent="0.25">
      <c r="A26" s="155"/>
      <c r="B26" s="554" t="s">
        <v>284</v>
      </c>
      <c r="C26" s="530">
        <v>41.200357245907767</v>
      </c>
      <c r="D26" s="530">
        <v>85.368884997032069</v>
      </c>
      <c r="E26" s="530">
        <v>50.457378047977144</v>
      </c>
      <c r="F26" s="530">
        <v>204.81203691903647</v>
      </c>
      <c r="G26" s="530">
        <v>381.83865720995385</v>
      </c>
      <c r="H26" s="482">
        <v>0</v>
      </c>
      <c r="I26" s="530">
        <v>-9.1953481312600971</v>
      </c>
      <c r="J26" s="530">
        <v>-101.51538052235867</v>
      </c>
      <c r="K26" s="530">
        <v>-17.686063960803793</v>
      </c>
      <c r="L26" s="530">
        <v>-67.172920891714654</v>
      </c>
      <c r="M26" s="530">
        <v>-195.62271350613713</v>
      </c>
      <c r="N26" s="506"/>
      <c r="O26" s="532">
        <v>-0.40580168668532934</v>
      </c>
      <c r="P26" s="532">
        <v>-26.837285513314658</v>
      </c>
      <c r="Q26" s="532">
        <v>-39.099999999999994</v>
      </c>
      <c r="R26" s="532">
        <v>-147.52706746000001</v>
      </c>
      <c r="S26" s="532">
        <v>-213.87015466</v>
      </c>
      <c r="T26" s="508">
        <v>0</v>
      </c>
      <c r="U26" s="532">
        <v>35.784944179999997</v>
      </c>
      <c r="V26" s="532">
        <v>32.239395149999972</v>
      </c>
      <c r="W26" s="532">
        <v>26.339548180000122</v>
      </c>
      <c r="X26" s="532">
        <v>39.044093059999952</v>
      </c>
      <c r="Y26" s="532">
        <v>133.40798056999998</v>
      </c>
      <c r="Z26" s="492"/>
      <c r="AA26" s="532">
        <v>27.56396177000002</v>
      </c>
      <c r="AB26" s="532">
        <v>45.045552440000023</v>
      </c>
      <c r="AC26" s="532">
        <v>14.827724239999885</v>
      </c>
      <c r="AD26" s="532">
        <v>52.853869069999945</v>
      </c>
      <c r="AE26" s="532">
        <v>140.39110751999993</v>
      </c>
      <c r="AF26" s="492"/>
      <c r="AG26" s="532">
        <v>6.1202946000000029</v>
      </c>
      <c r="AH26" s="532">
        <v>0</v>
      </c>
      <c r="AI26" s="532">
        <v>0</v>
      </c>
      <c r="AJ26" s="532">
        <v>0</v>
      </c>
      <c r="AK26" s="553"/>
      <c r="AL26" s="532">
        <v>381.83865720995385</v>
      </c>
      <c r="AM26" s="532">
        <v>-195.62271350613713</v>
      </c>
      <c r="AN26" s="532">
        <v>-213.87015466</v>
      </c>
      <c r="AO26" s="532">
        <v>133.40798056999998</v>
      </c>
      <c r="AP26" s="533">
        <v>140.39110751999993</v>
      </c>
      <c r="AS26" s="624">
        <v>-0.77796027105721821</v>
      </c>
      <c r="AT26" s="653">
        <v>-0.88420347066939886</v>
      </c>
    </row>
    <row r="27" spans="1:46" x14ac:dyDescent="0.25">
      <c r="A27" s="155"/>
      <c r="B27" s="175" t="s">
        <v>216</v>
      </c>
      <c r="C27" s="505">
        <v>-11.688121458342389</v>
      </c>
      <c r="D27" s="505">
        <v>-46.262433004063155</v>
      </c>
      <c r="E27" s="505">
        <v>-22.629065790630076</v>
      </c>
      <c r="F27" s="505">
        <v>-78.663774958696152</v>
      </c>
      <c r="G27" s="505">
        <v>-159.24339521173175</v>
      </c>
      <c r="H27" s="482"/>
      <c r="I27" s="505">
        <v>-13.326000000000001</v>
      </c>
      <c r="J27" s="505">
        <v>6.5090000000000003</v>
      </c>
      <c r="K27" s="505">
        <v>-8.2029999999999994</v>
      </c>
      <c r="L27" s="505">
        <v>-65.279999999999987</v>
      </c>
      <c r="M27" s="505">
        <v>-80.3</v>
      </c>
      <c r="N27" s="506"/>
      <c r="O27" s="507">
        <v>-3.5</v>
      </c>
      <c r="P27" s="507">
        <v>19.399999999999999</v>
      </c>
      <c r="Q27" s="507">
        <v>-9.3999999999999986</v>
      </c>
      <c r="R27" s="507">
        <v>-4.6999999999999993</v>
      </c>
      <c r="S27" s="507">
        <v>1.8</v>
      </c>
      <c r="T27" s="508"/>
      <c r="U27" s="507">
        <v>-16.600000000000001</v>
      </c>
      <c r="V27" s="507">
        <v>-11.2</v>
      </c>
      <c r="W27" s="507">
        <v>-3.8999999999999986</v>
      </c>
      <c r="X27" s="507">
        <v>-19.8</v>
      </c>
      <c r="Y27" s="507">
        <v>-51.5</v>
      </c>
      <c r="Z27" s="492"/>
      <c r="AA27" s="507">
        <v>-11.8</v>
      </c>
      <c r="AB27" s="507">
        <v>-17.099999999999998</v>
      </c>
      <c r="AC27" s="507">
        <v>-2.5</v>
      </c>
      <c r="AD27" s="507">
        <v>-20.100000000000005</v>
      </c>
      <c r="AE27" s="507">
        <v>-51.5</v>
      </c>
      <c r="AF27" s="492"/>
      <c r="AG27" s="507">
        <v>-1.1000000000000001</v>
      </c>
      <c r="AH27" s="507"/>
      <c r="AI27" s="507"/>
      <c r="AJ27" s="507"/>
      <c r="AK27" s="555"/>
      <c r="AL27" s="507">
        <v>-159.24339521173175</v>
      </c>
      <c r="AM27" s="507">
        <v>-80.3</v>
      </c>
      <c r="AN27" s="507">
        <v>1.8</v>
      </c>
      <c r="AO27" s="507">
        <v>-51.5</v>
      </c>
      <c r="AP27" s="526">
        <v>-51.5</v>
      </c>
      <c r="AS27" s="628">
        <v>-0.90677966101694918</v>
      </c>
      <c r="AT27" s="656">
        <v>-0.94527363184079605</v>
      </c>
    </row>
    <row r="28" spans="1:46" x14ac:dyDescent="0.25">
      <c r="A28" s="155"/>
      <c r="B28" s="175" t="s">
        <v>269</v>
      </c>
      <c r="C28" s="505">
        <v>0</v>
      </c>
      <c r="D28" s="505">
        <v>0</v>
      </c>
      <c r="E28" s="505">
        <v>0</v>
      </c>
      <c r="F28" s="505">
        <v>-2.1</v>
      </c>
      <c r="G28" s="505">
        <v>-2.1</v>
      </c>
      <c r="H28" s="482"/>
      <c r="I28" s="505">
        <v>0</v>
      </c>
      <c r="J28" s="505">
        <v>0</v>
      </c>
      <c r="K28" s="505">
        <v>0</v>
      </c>
      <c r="L28" s="505">
        <v>-1.1000000000000001</v>
      </c>
      <c r="M28" s="505">
        <v>-1.1000000000000001</v>
      </c>
      <c r="N28" s="506"/>
      <c r="O28" s="507">
        <v>0</v>
      </c>
      <c r="P28" s="507">
        <v>0</v>
      </c>
      <c r="Q28" s="507">
        <v>0</v>
      </c>
      <c r="R28" s="507">
        <v>0</v>
      </c>
      <c r="S28" s="507">
        <v>0</v>
      </c>
      <c r="T28" s="508"/>
      <c r="U28" s="507">
        <v>0</v>
      </c>
      <c r="V28" s="507">
        <v>0</v>
      </c>
      <c r="W28" s="507">
        <v>0</v>
      </c>
      <c r="X28" s="507">
        <v>0</v>
      </c>
      <c r="Y28" s="507">
        <v>0</v>
      </c>
      <c r="Z28" s="492"/>
      <c r="AA28" s="507">
        <v>0</v>
      </c>
      <c r="AB28" s="507">
        <v>0</v>
      </c>
      <c r="AC28" s="507">
        <v>0</v>
      </c>
      <c r="AD28" s="507">
        <v>-1.5</v>
      </c>
      <c r="AE28" s="507">
        <v>-1.5</v>
      </c>
      <c r="AF28" s="492"/>
      <c r="AG28" s="507">
        <v>0</v>
      </c>
      <c r="AH28" s="507"/>
      <c r="AI28" s="507"/>
      <c r="AJ28" s="507"/>
      <c r="AK28" s="556"/>
      <c r="AL28" s="507">
        <v>-2.1</v>
      </c>
      <c r="AM28" s="507">
        <v>-1.1000000000000001</v>
      </c>
      <c r="AN28" s="507">
        <v>0</v>
      </c>
      <c r="AO28" s="507">
        <v>0</v>
      </c>
      <c r="AP28" s="526">
        <v>-1.5</v>
      </c>
      <c r="AS28" s="628" t="e">
        <v>#DIV/0!</v>
      </c>
      <c r="AT28" s="656">
        <v>-1</v>
      </c>
    </row>
    <row r="29" spans="1:46" x14ac:dyDescent="0.25">
      <c r="A29" s="155"/>
      <c r="B29" s="557" t="s">
        <v>36</v>
      </c>
      <c r="C29" s="558">
        <v>29.51223578756538</v>
      </c>
      <c r="D29" s="558">
        <v>39.106451992968914</v>
      </c>
      <c r="E29" s="558">
        <v>27.828312257347068</v>
      </c>
      <c r="F29" s="558">
        <v>124.04826196034033</v>
      </c>
      <c r="G29" s="558">
        <v>220.49526199822211</v>
      </c>
      <c r="H29" s="482"/>
      <c r="I29" s="558">
        <v>-22.521348131260098</v>
      </c>
      <c r="J29" s="558">
        <v>-95.006380522358668</v>
      </c>
      <c r="K29" s="558">
        <v>-25.889063960803792</v>
      </c>
      <c r="L29" s="558">
        <v>-133.55292089171465</v>
      </c>
      <c r="M29" s="558">
        <v>-277.02271350613717</v>
      </c>
      <c r="N29" s="506"/>
      <c r="O29" s="558">
        <v>-3.9058016866853293</v>
      </c>
      <c r="P29" s="558">
        <v>-7.4372855133146594</v>
      </c>
      <c r="Q29" s="558">
        <v>-48.499999999999993</v>
      </c>
      <c r="R29" s="558">
        <v>-152.22706746</v>
      </c>
      <c r="S29" s="558">
        <v>-212.07015465999999</v>
      </c>
      <c r="T29" s="508"/>
      <c r="U29" s="558">
        <v>19.184944179999995</v>
      </c>
      <c r="V29" s="558">
        <v>21.039395149999972</v>
      </c>
      <c r="W29" s="558">
        <v>22.439548180000124</v>
      </c>
      <c r="X29" s="558">
        <v>19.244093059999951</v>
      </c>
      <c r="Y29" s="558">
        <v>81.907980569999978</v>
      </c>
      <c r="Z29" s="508"/>
      <c r="AA29" s="558">
        <v>15.763961770000019</v>
      </c>
      <c r="AB29" s="558">
        <v>27.945552440000025</v>
      </c>
      <c r="AC29" s="558">
        <v>12.327724239999885</v>
      </c>
      <c r="AD29" s="558">
        <v>31.253869069999936</v>
      </c>
      <c r="AE29" s="558">
        <v>87.391107519999935</v>
      </c>
      <c r="AF29" s="508"/>
      <c r="AG29" s="558">
        <v>5.0202946000000033</v>
      </c>
      <c r="AH29" s="558">
        <v>0</v>
      </c>
      <c r="AI29" s="558">
        <v>0</v>
      </c>
      <c r="AJ29" s="558">
        <v>0</v>
      </c>
      <c r="AK29" s="559"/>
      <c r="AL29" s="558">
        <v>220.49526199822211</v>
      </c>
      <c r="AM29" s="558">
        <v>-277.02271350613717</v>
      </c>
      <c r="AN29" s="558">
        <v>-212.07015465999999</v>
      </c>
      <c r="AO29" s="558">
        <v>81.907980569999978</v>
      </c>
      <c r="AP29" s="560">
        <v>87.391107519999935</v>
      </c>
      <c r="AS29" s="629">
        <v>-0.68153344487589451</v>
      </c>
      <c r="AT29" s="657">
        <v>-0.83937046038185081</v>
      </c>
    </row>
    <row r="30" spans="1:46" x14ac:dyDescent="0.25">
      <c r="A30" s="520"/>
      <c r="B30" s="521" t="s">
        <v>37</v>
      </c>
      <c r="C30" s="522">
        <v>7.0384535625006864E-2</v>
      </c>
      <c r="D30" s="522">
        <v>3.9086908538699568E-2</v>
      </c>
      <c r="E30" s="522">
        <v>8.4946008111560015E-2</v>
      </c>
      <c r="F30" s="522">
        <v>0.10674491176348022</v>
      </c>
      <c r="G30" s="522">
        <v>7.5784589104046091E-2</v>
      </c>
      <c r="H30" s="482"/>
      <c r="I30" s="522">
        <v>-0.1149634922473716</v>
      </c>
      <c r="J30" s="522">
        <v>-0.84859705531908391</v>
      </c>
      <c r="K30" s="522">
        <v>-0.1190849308224645</v>
      </c>
      <c r="L30" s="522">
        <v>-0.21833075182559203</v>
      </c>
      <c r="M30" s="522">
        <v>-0.24366497801577724</v>
      </c>
      <c r="N30" s="506"/>
      <c r="O30" s="561">
        <v>-1.5456278934251402E-2</v>
      </c>
      <c r="P30" s="522">
        <v>-2.9856625906522116E-2</v>
      </c>
      <c r="Q30" s="522">
        <v>-0.2275926794931957</v>
      </c>
      <c r="R30" s="522">
        <v>-0.32416326120102218</v>
      </c>
      <c r="S30" s="522">
        <v>-0.17903769916420428</v>
      </c>
      <c r="T30" s="508"/>
      <c r="U30" s="561">
        <v>4.6062290948379339E-2</v>
      </c>
      <c r="V30" s="522">
        <v>5.7642178493150606E-2</v>
      </c>
      <c r="W30" s="522">
        <v>6.3085600730953387E-2</v>
      </c>
      <c r="X30" s="522">
        <v>5.7240015050564988E-2</v>
      </c>
      <c r="Y30" s="522">
        <v>5.5591136534545928E-2</v>
      </c>
      <c r="Z30" s="492"/>
      <c r="AA30" s="522"/>
      <c r="AB30" s="522"/>
      <c r="AC30" s="522"/>
      <c r="AD30" s="522"/>
      <c r="AE30" s="522"/>
      <c r="AF30" s="492"/>
      <c r="AG30" s="522"/>
      <c r="AH30" s="522"/>
      <c r="AI30" s="522"/>
      <c r="AJ30" s="522"/>
      <c r="AK30" s="537"/>
      <c r="AL30" s="561">
        <v>7.5784589104046091E-2</v>
      </c>
      <c r="AM30" s="522">
        <v>-0.24366497801577724</v>
      </c>
      <c r="AN30" s="522">
        <v>-0.17903769916420428</v>
      </c>
      <c r="AO30" s="522">
        <v>5.5591136534545928E-2</v>
      </c>
      <c r="AP30" s="562">
        <v>0</v>
      </c>
      <c r="AS30" s="523">
        <v>0</v>
      </c>
      <c r="AT30" s="524">
        <v>0</v>
      </c>
    </row>
    <row r="31" spans="1:46" x14ac:dyDescent="0.25">
      <c r="A31" s="520"/>
      <c r="B31" s="176" t="s">
        <v>280</v>
      </c>
      <c r="C31" s="552">
        <v>0</v>
      </c>
      <c r="D31" s="552">
        <v>0</v>
      </c>
      <c r="E31" s="552">
        <v>0</v>
      </c>
      <c r="F31" s="552">
        <v>0</v>
      </c>
      <c r="G31" s="552">
        <v>0</v>
      </c>
      <c r="H31" s="482"/>
      <c r="I31" s="552">
        <v>0</v>
      </c>
      <c r="J31" s="552">
        <v>0</v>
      </c>
      <c r="K31" s="552">
        <v>-1.2</v>
      </c>
      <c r="L31" s="552">
        <v>1.2</v>
      </c>
      <c r="M31" s="552">
        <v>0</v>
      </c>
      <c r="N31" s="506"/>
      <c r="O31" s="552">
        <v>0</v>
      </c>
      <c r="P31" s="550">
        <v>0</v>
      </c>
      <c r="Q31" s="550">
        <v>0</v>
      </c>
      <c r="R31" s="550">
        <v>0</v>
      </c>
      <c r="S31" s="550">
        <v>0</v>
      </c>
      <c r="T31" s="508"/>
      <c r="U31" s="552">
        <v>0</v>
      </c>
      <c r="V31" s="552">
        <v>0</v>
      </c>
      <c r="W31" s="552">
        <v>-1.2</v>
      </c>
      <c r="X31" s="552">
        <v>1.2</v>
      </c>
      <c r="Y31" s="552">
        <v>0</v>
      </c>
      <c r="Z31" s="492"/>
      <c r="AA31" s="552">
        <v>0</v>
      </c>
      <c r="AB31" s="552">
        <v>0</v>
      </c>
      <c r="AC31" s="552">
        <v>-1.4</v>
      </c>
      <c r="AD31" s="552">
        <v>-0.10000000000000009</v>
      </c>
      <c r="AE31" s="552">
        <v>-1.5</v>
      </c>
      <c r="AF31" s="492"/>
      <c r="AG31" s="552">
        <v>4.3</v>
      </c>
      <c r="AH31" s="552"/>
      <c r="AI31" s="552"/>
      <c r="AJ31" s="552"/>
      <c r="AK31" s="563"/>
      <c r="AL31" s="552">
        <v>0</v>
      </c>
      <c r="AM31" s="552">
        <v>0</v>
      </c>
      <c r="AN31" s="552">
        <v>0</v>
      </c>
      <c r="AO31" s="552">
        <v>0</v>
      </c>
      <c r="AP31" s="552">
        <v>-1.5</v>
      </c>
      <c r="AS31" s="630"/>
      <c r="AT31" s="630"/>
    </row>
    <row r="32" spans="1:46" x14ac:dyDescent="0.25">
      <c r="A32" s="155"/>
      <c r="B32" s="564" t="s">
        <v>218</v>
      </c>
      <c r="C32" s="565">
        <v>-0.2</v>
      </c>
      <c r="D32" s="565">
        <v>0.1</v>
      </c>
      <c r="E32" s="565">
        <v>0.1</v>
      </c>
      <c r="F32" s="565">
        <v>1.0999999999999999</v>
      </c>
      <c r="G32" s="565">
        <v>1.0999999999999999</v>
      </c>
      <c r="H32" s="566"/>
      <c r="I32" s="565">
        <v>0.2</v>
      </c>
      <c r="J32" s="565">
        <v>0.3</v>
      </c>
      <c r="K32" s="565">
        <v>0.3000000000000001</v>
      </c>
      <c r="L32" s="565">
        <v>-1.4000000000000001</v>
      </c>
      <c r="M32" s="565">
        <v>-0.6</v>
      </c>
      <c r="N32" s="506"/>
      <c r="O32" s="565">
        <v>-0.4</v>
      </c>
      <c r="P32" s="565">
        <v>-1.2999999999999999E-3</v>
      </c>
      <c r="Q32" s="565">
        <v>-1.9986999999999999</v>
      </c>
      <c r="R32" s="565">
        <v>1.5</v>
      </c>
      <c r="S32" s="565">
        <v>-0.9</v>
      </c>
      <c r="T32" s="508"/>
      <c r="U32" s="565">
        <v>-0.2</v>
      </c>
      <c r="V32" s="565">
        <v>-0.3</v>
      </c>
      <c r="W32" s="565">
        <v>-0.89999999999999991</v>
      </c>
      <c r="X32" s="565">
        <v>-0.10000000000000009</v>
      </c>
      <c r="Y32" s="565">
        <v>-1.5</v>
      </c>
      <c r="Z32" s="492"/>
      <c r="AA32" s="565">
        <v>-0.4</v>
      </c>
      <c r="AB32" s="565">
        <v>-3.2</v>
      </c>
      <c r="AC32" s="565">
        <v>-2.5999999999999996</v>
      </c>
      <c r="AD32" s="565">
        <v>-3.9999999999999991</v>
      </c>
      <c r="AE32" s="565">
        <v>-10.199999999999999</v>
      </c>
      <c r="AF32" s="492"/>
      <c r="AG32" s="565">
        <v>-1.1000000000000001</v>
      </c>
      <c r="AH32" s="565"/>
      <c r="AI32" s="565"/>
      <c r="AJ32" s="565"/>
      <c r="AK32" s="559"/>
      <c r="AL32" s="565">
        <v>1.0999999999999999</v>
      </c>
      <c r="AM32" s="565">
        <v>-0.6</v>
      </c>
      <c r="AN32" s="565">
        <v>-0.9</v>
      </c>
      <c r="AO32" s="565">
        <v>-1.5</v>
      </c>
      <c r="AP32" s="567">
        <v>-10.199999999999999</v>
      </c>
      <c r="AS32" s="631">
        <v>1.75</v>
      </c>
      <c r="AT32" s="658">
        <v>-0.72499999999999987</v>
      </c>
    </row>
    <row r="33" spans="1:46" x14ac:dyDescent="0.25">
      <c r="A33" s="520"/>
      <c r="B33" s="568" t="s">
        <v>95</v>
      </c>
      <c r="C33" s="569">
        <v>29.312235787565381</v>
      </c>
      <c r="D33" s="569">
        <v>39.206451992968915</v>
      </c>
      <c r="E33" s="569">
        <v>27.92831225734707</v>
      </c>
      <c r="F33" s="569">
        <v>125.14826196034032</v>
      </c>
      <c r="G33" s="569">
        <v>221.5952619982221</v>
      </c>
      <c r="H33" s="482"/>
      <c r="I33" s="569">
        <v>-22.321348131260098</v>
      </c>
      <c r="J33" s="569">
        <v>-94.706380522358671</v>
      </c>
      <c r="K33" s="569">
        <v>-26.789063960803791</v>
      </c>
      <c r="L33" s="569">
        <v>-133.75292089171464</v>
      </c>
      <c r="M33" s="569">
        <v>-277.62271350613719</v>
      </c>
      <c r="N33" s="506"/>
      <c r="O33" s="570">
        <v>-4.3058016866853297</v>
      </c>
      <c r="P33" s="570">
        <v>-7.438585513314659</v>
      </c>
      <c r="Q33" s="570">
        <v>-50.498699999999992</v>
      </c>
      <c r="R33" s="570">
        <v>-150.72706746</v>
      </c>
      <c r="S33" s="570">
        <v>-212.97015465999999</v>
      </c>
      <c r="T33" s="508"/>
      <c r="U33" s="570">
        <v>18.984944179999996</v>
      </c>
      <c r="V33" s="570">
        <v>20.739395149999972</v>
      </c>
      <c r="W33" s="570">
        <v>20.339548180000122</v>
      </c>
      <c r="X33" s="570">
        <v>20.344093059999953</v>
      </c>
      <c r="Y33" s="570">
        <v>80.407980569999978</v>
      </c>
      <c r="Z33" s="492"/>
      <c r="AA33" s="570">
        <v>15.363961770000019</v>
      </c>
      <c r="AB33" s="570">
        <v>24.745552440000026</v>
      </c>
      <c r="AC33" s="571">
        <v>8.3277242399998848</v>
      </c>
      <c r="AD33" s="571">
        <v>27.153869069999935</v>
      </c>
      <c r="AE33" s="571">
        <v>75.691107519999932</v>
      </c>
      <c r="AF33" s="492"/>
      <c r="AG33" s="571">
        <v>8.2202946000000026</v>
      </c>
      <c r="AH33" s="570">
        <v>0</v>
      </c>
      <c r="AI33" s="571">
        <v>0</v>
      </c>
      <c r="AJ33" s="571">
        <v>0</v>
      </c>
      <c r="AK33" s="572"/>
      <c r="AL33" s="573">
        <v>221.5952619982221</v>
      </c>
      <c r="AM33" s="573">
        <v>-277.62271350613719</v>
      </c>
      <c r="AN33" s="573">
        <v>-212.97015465999999</v>
      </c>
      <c r="AO33" s="573">
        <v>80.407980569999978</v>
      </c>
      <c r="AP33" s="574">
        <v>75.691107519999932</v>
      </c>
      <c r="AS33" s="632">
        <v>-0.46496257130428986</v>
      </c>
      <c r="AT33" s="659">
        <v>-0.69726985945137643</v>
      </c>
    </row>
    <row r="34" spans="1:46" s="586" customFormat="1" x14ac:dyDescent="0.25">
      <c r="A34" s="575"/>
      <c r="B34" s="576" t="s">
        <v>289</v>
      </c>
      <c r="C34" s="577">
        <v>6.990755017306316E-2</v>
      </c>
      <c r="D34" s="577">
        <v>3.9186858563687074E-2</v>
      </c>
      <c r="E34" s="577">
        <v>8.5251258416810333E-2</v>
      </c>
      <c r="F34" s="577">
        <v>0.10769147402146145</v>
      </c>
      <c r="G34" s="578">
        <v>7.6162660937694485E-2</v>
      </c>
      <c r="H34" s="579"/>
      <c r="I34" s="580">
        <v>-0.11394256320194027</v>
      </c>
      <c r="J34" s="577">
        <v>-0.84591745511543426</v>
      </c>
      <c r="K34" s="577">
        <v>-0.12322476522908823</v>
      </c>
      <c r="L34" s="577">
        <v>-0.21865770948457516</v>
      </c>
      <c r="M34" s="577">
        <v>-0.24419272891735172</v>
      </c>
      <c r="N34" s="581"/>
      <c r="O34" s="580">
        <v>-1.7039183564247447E-2</v>
      </c>
      <c r="P34" s="577">
        <v>-2.9861844694157601E-2</v>
      </c>
      <c r="Q34" s="577">
        <v>-0.23697184420459877</v>
      </c>
      <c r="R34" s="577">
        <v>-0.3209690533645656</v>
      </c>
      <c r="S34" s="577">
        <v>-0.17979751343182776</v>
      </c>
      <c r="T34" s="582"/>
      <c r="U34" s="583">
        <v>4.5582098871548613E-2</v>
      </c>
      <c r="V34" s="577">
        <v>5.6820260684931428E-2</v>
      </c>
      <c r="W34" s="577">
        <v>5.7181749170649762E-2</v>
      </c>
      <c r="X34" s="577">
        <v>6.0511877037477541E-2</v>
      </c>
      <c r="Y34" s="577">
        <v>5.457308305280302E-2</v>
      </c>
      <c r="Z34" s="582"/>
      <c r="AA34" s="583">
        <v>6.380382794850506E-2</v>
      </c>
      <c r="AB34" s="577">
        <v>6.8000968507831883E-2</v>
      </c>
      <c r="AC34" s="577">
        <v>2.6657247887323581E-2</v>
      </c>
      <c r="AD34" s="577">
        <v>6.4345661303317384E-2</v>
      </c>
      <c r="AE34" s="577">
        <v>5.6523864924202777E-2</v>
      </c>
      <c r="AF34" s="584"/>
      <c r="AG34" s="577">
        <v>3.6534642666666679E-2</v>
      </c>
      <c r="AH34" s="577" t="e">
        <v>#DIV/0!</v>
      </c>
      <c r="AI34" s="577" t="e">
        <v>#DIV/0!</v>
      </c>
      <c r="AJ34" s="577" t="e">
        <v>#DIV/0!</v>
      </c>
      <c r="AK34" s="585"/>
      <c r="AL34" s="580">
        <v>7.6162660937694485E-2</v>
      </c>
      <c r="AM34" s="577">
        <v>-0.24419272891735172</v>
      </c>
      <c r="AN34" s="577">
        <v>-0.17979751343182776</v>
      </c>
      <c r="AO34" s="577">
        <v>5.457308305280302E-2</v>
      </c>
      <c r="AP34" s="578">
        <v>5.6523864924202777E-2</v>
      </c>
      <c r="AS34" s="660">
        <v>-2.726918528183838E-2</v>
      </c>
      <c r="AT34" s="661">
        <v>-2.7811018636650704E-2</v>
      </c>
    </row>
    <row r="35" spans="1:46" s="586" customFormat="1" x14ac:dyDescent="0.25">
      <c r="A35" s="587"/>
      <c r="B35" s="588"/>
      <c r="C35" s="589"/>
      <c r="D35" s="589"/>
      <c r="E35" s="589"/>
      <c r="F35" s="589"/>
      <c r="G35" s="589"/>
      <c r="H35" s="579"/>
      <c r="I35" s="589"/>
      <c r="J35" s="589"/>
      <c r="K35" s="589"/>
      <c r="L35" s="589"/>
      <c r="M35" s="589"/>
      <c r="N35" s="581"/>
      <c r="O35" s="589"/>
      <c r="P35" s="589"/>
      <c r="Q35" s="589"/>
      <c r="R35" s="589"/>
      <c r="S35" s="589"/>
      <c r="T35" s="582"/>
      <c r="U35" s="642">
        <v>8.5883866031999982</v>
      </c>
      <c r="V35" s="642">
        <v>7.7374548359999933</v>
      </c>
      <c r="W35" s="642">
        <v>6.3214915632000288</v>
      </c>
      <c r="X35" s="642">
        <v>9.3705823343999874</v>
      </c>
      <c r="Y35" s="642">
        <v>32.017915336799994</v>
      </c>
      <c r="Z35" s="642"/>
      <c r="AA35" s="642"/>
      <c r="AB35" s="642"/>
      <c r="AC35" s="642"/>
      <c r="AD35" s="642"/>
      <c r="AE35" s="642"/>
      <c r="AF35" s="642"/>
      <c r="AG35" s="642"/>
      <c r="AH35" s="589"/>
      <c r="AI35" s="589"/>
      <c r="AJ35" s="589"/>
      <c r="AK35" s="590"/>
      <c r="AL35" s="589"/>
      <c r="AM35" s="589"/>
      <c r="AN35" s="589"/>
      <c r="AO35" s="589"/>
      <c r="AP35" s="589"/>
      <c r="AS35" s="589"/>
      <c r="AT35" s="589"/>
    </row>
    <row r="36" spans="1:46" s="586" customFormat="1" x14ac:dyDescent="0.25">
      <c r="A36" s="587"/>
      <c r="B36" s="588"/>
      <c r="C36" s="589"/>
      <c r="D36" s="589"/>
      <c r="E36" s="589"/>
      <c r="F36" s="589"/>
      <c r="G36" s="589"/>
      <c r="H36" s="579"/>
      <c r="I36" s="589"/>
      <c r="J36" s="589"/>
      <c r="K36" s="589"/>
      <c r="L36" s="589"/>
      <c r="M36" s="589"/>
      <c r="N36" s="581"/>
      <c r="O36" s="589"/>
      <c r="P36" s="589"/>
      <c r="Q36" s="589"/>
      <c r="R36" s="589"/>
      <c r="S36" s="589"/>
      <c r="T36" s="582"/>
      <c r="U36" s="589"/>
      <c r="V36" s="589"/>
      <c r="W36" s="589"/>
      <c r="X36" s="589"/>
      <c r="Y36" s="589"/>
      <c r="Z36" s="582"/>
      <c r="AA36" s="589"/>
      <c r="AB36" s="589"/>
      <c r="AC36" s="589"/>
      <c r="AD36" s="589"/>
      <c r="AE36" s="589"/>
      <c r="AF36" s="582"/>
      <c r="AG36" s="589"/>
      <c r="AH36" s="589"/>
      <c r="AI36" s="589"/>
      <c r="AJ36" s="589"/>
      <c r="AK36" s="590"/>
      <c r="AL36" s="589"/>
      <c r="AM36" s="589"/>
      <c r="AN36" s="589"/>
      <c r="AO36" s="589"/>
      <c r="AP36" s="589"/>
      <c r="AS36" s="589"/>
      <c r="AT36" s="589"/>
    </row>
    <row r="37" spans="1:46" s="586" customFormat="1" x14ac:dyDescent="0.25">
      <c r="A37" s="587"/>
      <c r="B37" s="588"/>
      <c r="C37" s="589"/>
      <c r="D37" s="589"/>
      <c r="E37" s="589"/>
      <c r="F37" s="589"/>
      <c r="G37" s="589"/>
      <c r="H37" s="579"/>
      <c r="I37" s="589"/>
      <c r="J37" s="589"/>
      <c r="K37" s="589"/>
      <c r="L37" s="589"/>
      <c r="M37" s="589"/>
      <c r="N37" s="581"/>
      <c r="O37" s="589"/>
      <c r="P37" s="589"/>
      <c r="Q37" s="589"/>
      <c r="R37" s="589"/>
      <c r="S37" s="589"/>
      <c r="T37" s="582"/>
      <c r="U37" s="589"/>
      <c r="V37" s="589"/>
      <c r="W37" s="589"/>
      <c r="X37" s="589"/>
      <c r="Y37" s="589"/>
      <c r="Z37" s="582"/>
      <c r="AA37" s="589"/>
      <c r="AB37" s="589"/>
      <c r="AC37" s="589"/>
      <c r="AD37" s="589"/>
      <c r="AE37" s="589"/>
      <c r="AF37" s="582"/>
      <c r="AG37" s="589"/>
      <c r="AH37" s="589"/>
      <c r="AI37" s="589"/>
      <c r="AJ37" s="589"/>
      <c r="AK37" s="590"/>
      <c r="AL37" s="589"/>
      <c r="AM37" s="589"/>
      <c r="AN37" s="589"/>
      <c r="AO37" s="589"/>
      <c r="AP37" s="589"/>
      <c r="AS37" s="589"/>
      <c r="AT37" s="589"/>
    </row>
    <row r="38" spans="1:46" ht="66" hidden="1" x14ac:dyDescent="0.25">
      <c r="A38" s="155"/>
      <c r="B38" s="591" t="s">
        <v>38</v>
      </c>
      <c r="C38" s="592" t="s">
        <v>1</v>
      </c>
      <c r="D38" s="592" t="s">
        <v>2</v>
      </c>
      <c r="E38" s="592" t="s">
        <v>3</v>
      </c>
      <c r="F38" s="592" t="s">
        <v>4</v>
      </c>
      <c r="G38" s="592"/>
      <c r="H38" s="482"/>
      <c r="I38" s="592" t="s">
        <v>5</v>
      </c>
      <c r="J38" s="592" t="s">
        <v>6</v>
      </c>
      <c r="K38" s="592" t="s">
        <v>7</v>
      </c>
      <c r="L38" s="592" t="s">
        <v>8</v>
      </c>
      <c r="M38" s="592" t="s">
        <v>8</v>
      </c>
      <c r="N38" s="593"/>
      <c r="O38" s="592" t="s">
        <v>9</v>
      </c>
      <c r="P38" s="592" t="s">
        <v>10</v>
      </c>
      <c r="Q38" s="592" t="s">
        <v>11</v>
      </c>
      <c r="R38" s="592" t="s">
        <v>12</v>
      </c>
      <c r="S38" s="592"/>
      <c r="T38" s="508"/>
      <c r="U38" s="592" t="s">
        <v>13</v>
      </c>
      <c r="V38" s="592" t="s">
        <v>14</v>
      </c>
      <c r="W38" s="592" t="s">
        <v>15</v>
      </c>
      <c r="X38" s="592" t="s">
        <v>16</v>
      </c>
      <c r="Y38" s="592"/>
      <c r="Z38" s="492"/>
      <c r="AA38" s="592" t="s">
        <v>19</v>
      </c>
      <c r="AB38" s="592" t="s">
        <v>20</v>
      </c>
      <c r="AC38" s="592" t="s">
        <v>21</v>
      </c>
      <c r="AD38" s="592" t="s">
        <v>22</v>
      </c>
      <c r="AE38" s="592"/>
      <c r="AF38" s="492"/>
      <c r="AG38" s="592"/>
      <c r="AH38" s="592"/>
      <c r="AI38" s="592"/>
      <c r="AJ38" s="592"/>
      <c r="AK38" s="594" t="s">
        <v>23</v>
      </c>
      <c r="AL38" s="592" t="s">
        <v>24</v>
      </c>
      <c r="AM38" s="592"/>
      <c r="AN38" s="592" t="s">
        <v>25</v>
      </c>
      <c r="AO38" s="592" t="s">
        <v>26</v>
      </c>
      <c r="AP38" s="592" t="s">
        <v>27</v>
      </c>
      <c r="AS38" s="633"/>
      <c r="AT38" s="633"/>
    </row>
    <row r="39" spans="1:46" hidden="1" x14ac:dyDescent="0.25">
      <c r="A39" s="155"/>
      <c r="B39" s="176" t="s">
        <v>39</v>
      </c>
      <c r="C39" s="595"/>
      <c r="D39" s="595"/>
      <c r="E39" s="595"/>
      <c r="F39" s="595"/>
      <c r="G39" s="595"/>
      <c r="H39" s="482"/>
      <c r="I39" s="595"/>
      <c r="J39" s="595"/>
      <c r="K39" s="595"/>
      <c r="L39" s="595"/>
      <c r="M39" s="595"/>
      <c r="N39" s="593"/>
      <c r="O39" s="595"/>
      <c r="P39" s="595"/>
      <c r="Q39" s="595"/>
      <c r="R39" s="595"/>
      <c r="S39" s="595"/>
      <c r="T39" s="508"/>
      <c r="U39" s="595"/>
      <c r="V39" s="595"/>
      <c r="W39" s="595"/>
      <c r="X39" s="595"/>
      <c r="Y39" s="595"/>
      <c r="Z39" s="492"/>
      <c r="AA39" s="595"/>
      <c r="AB39" s="595"/>
      <c r="AC39" s="595"/>
      <c r="AD39" s="595"/>
      <c r="AE39" s="595"/>
      <c r="AF39" s="492"/>
      <c r="AG39" s="595"/>
      <c r="AH39" s="595"/>
      <c r="AI39" s="595"/>
      <c r="AJ39" s="595"/>
      <c r="AK39" s="596"/>
      <c r="AL39" s="595"/>
      <c r="AM39" s="595"/>
      <c r="AN39" s="595"/>
      <c r="AO39" s="595"/>
      <c r="AP39" s="595"/>
      <c r="AS39" s="634"/>
      <c r="AT39" s="634"/>
    </row>
    <row r="40" spans="1:46" hidden="1" x14ac:dyDescent="0.25">
      <c r="A40" s="155"/>
      <c r="B40" s="176" t="s">
        <v>213</v>
      </c>
      <c r="C40" s="597"/>
      <c r="D40" s="597"/>
      <c r="E40" s="597"/>
      <c r="F40" s="597"/>
      <c r="G40" s="597"/>
      <c r="H40" s="482"/>
      <c r="I40" s="597"/>
      <c r="J40" s="597"/>
      <c r="K40" s="597"/>
      <c r="L40" s="597"/>
      <c r="M40" s="597"/>
      <c r="N40" s="593"/>
      <c r="O40" s="597"/>
      <c r="P40" s="597"/>
      <c r="Q40" s="597"/>
      <c r="R40" s="597"/>
      <c r="S40" s="597"/>
      <c r="T40" s="508"/>
      <c r="U40" s="597"/>
      <c r="V40" s="597"/>
      <c r="W40" s="597"/>
      <c r="X40" s="597"/>
      <c r="Y40" s="597"/>
      <c r="Z40" s="492"/>
      <c r="AA40" s="597"/>
      <c r="AB40" s="597"/>
      <c r="AC40" s="597"/>
      <c r="AD40" s="597"/>
      <c r="AE40" s="597"/>
      <c r="AF40" s="492"/>
      <c r="AG40" s="597"/>
      <c r="AH40" s="597"/>
      <c r="AI40" s="597"/>
      <c r="AJ40" s="597"/>
      <c r="AK40" s="596"/>
      <c r="AL40" s="597"/>
      <c r="AM40" s="597"/>
      <c r="AN40" s="597"/>
      <c r="AO40" s="597"/>
      <c r="AP40" s="597"/>
      <c r="AS40" s="635"/>
      <c r="AT40" s="635"/>
    </row>
    <row r="41" spans="1:46" hidden="1" x14ac:dyDescent="0.25">
      <c r="A41" s="155"/>
      <c r="B41" s="176" t="s">
        <v>214</v>
      </c>
      <c r="C41" s="598"/>
      <c r="D41" s="598"/>
      <c r="E41" s="598"/>
      <c r="F41" s="598"/>
      <c r="G41" s="598"/>
      <c r="H41" s="482"/>
      <c r="I41" s="598"/>
      <c r="J41" s="598"/>
      <c r="K41" s="598"/>
      <c r="L41" s="598"/>
      <c r="M41" s="598"/>
      <c r="N41" s="593"/>
      <c r="O41" s="598"/>
      <c r="P41" s="598"/>
      <c r="Q41" s="598"/>
      <c r="R41" s="598"/>
      <c r="S41" s="598"/>
      <c r="T41" s="508"/>
      <c r="U41" s="598"/>
      <c r="V41" s="598"/>
      <c r="W41" s="598"/>
      <c r="X41" s="598"/>
      <c r="Y41" s="598"/>
      <c r="Z41" s="492"/>
      <c r="AA41" s="598"/>
      <c r="AB41" s="598"/>
      <c r="AC41" s="598"/>
      <c r="AD41" s="598"/>
      <c r="AE41" s="598"/>
      <c r="AF41" s="492"/>
      <c r="AG41" s="598"/>
      <c r="AH41" s="598"/>
      <c r="AI41" s="598"/>
      <c r="AJ41" s="598"/>
      <c r="AK41" s="596"/>
      <c r="AL41" s="598"/>
      <c r="AM41" s="598"/>
      <c r="AN41" s="598"/>
      <c r="AO41" s="598"/>
      <c r="AP41" s="598"/>
      <c r="AS41" s="635"/>
      <c r="AT41" s="635"/>
    </row>
    <row r="42" spans="1:46" hidden="1" x14ac:dyDescent="0.25">
      <c r="A42" s="155"/>
      <c r="B42" s="564" t="s">
        <v>40</v>
      </c>
      <c r="C42" s="599"/>
      <c r="D42" s="599"/>
      <c r="E42" s="599"/>
      <c r="F42" s="599"/>
      <c r="G42" s="599"/>
      <c r="H42" s="482"/>
      <c r="I42" s="599"/>
      <c r="J42" s="599"/>
      <c r="K42" s="599"/>
      <c r="L42" s="599"/>
      <c r="M42" s="599"/>
      <c r="N42" s="593"/>
      <c r="O42" s="599"/>
      <c r="P42" s="599"/>
      <c r="Q42" s="599"/>
      <c r="R42" s="599"/>
      <c r="S42" s="599"/>
      <c r="T42" s="508"/>
      <c r="U42" s="599"/>
      <c r="V42" s="599"/>
      <c r="W42" s="599"/>
      <c r="X42" s="599"/>
      <c r="Y42" s="599"/>
      <c r="Z42" s="492"/>
      <c r="AA42" s="599"/>
      <c r="AB42" s="599"/>
      <c r="AC42" s="599"/>
      <c r="AD42" s="599"/>
      <c r="AE42" s="599"/>
      <c r="AF42" s="492"/>
      <c r="AG42" s="599"/>
      <c r="AH42" s="599"/>
      <c r="AI42" s="599"/>
      <c r="AJ42" s="599"/>
      <c r="AK42" s="600"/>
      <c r="AL42" s="599"/>
      <c r="AM42" s="599"/>
      <c r="AN42" s="599"/>
      <c r="AO42" s="599"/>
      <c r="AP42" s="599"/>
      <c r="AS42" s="636"/>
      <c r="AT42" s="636"/>
    </row>
    <row r="43" spans="1:46" x14ac:dyDescent="0.25">
      <c r="A43" s="155"/>
      <c r="B43" s="601" t="s">
        <v>292</v>
      </c>
      <c r="C43" s="481" t="s">
        <v>1</v>
      </c>
      <c r="D43" s="481" t="s">
        <v>2</v>
      </c>
      <c r="E43" s="481" t="s">
        <v>3</v>
      </c>
      <c r="F43" s="481" t="s">
        <v>4</v>
      </c>
      <c r="G43" s="481" t="s">
        <v>59</v>
      </c>
      <c r="H43" s="482"/>
      <c r="I43" s="481" t="s">
        <v>5</v>
      </c>
      <c r="J43" s="481" t="s">
        <v>6</v>
      </c>
      <c r="K43" s="481" t="s">
        <v>7</v>
      </c>
      <c r="L43" s="481" t="s">
        <v>8</v>
      </c>
      <c r="M43" s="481" t="s">
        <v>60</v>
      </c>
      <c r="N43" s="483"/>
      <c r="O43" s="484" t="s">
        <v>9</v>
      </c>
      <c r="P43" s="481" t="s">
        <v>10</v>
      </c>
      <c r="Q43" s="481" t="s">
        <v>11</v>
      </c>
      <c r="R43" s="481" t="s">
        <v>12</v>
      </c>
      <c r="S43" s="481" t="s">
        <v>17</v>
      </c>
      <c r="T43" s="482"/>
      <c r="U43" s="481" t="s">
        <v>13</v>
      </c>
      <c r="V43" s="481" t="s">
        <v>14</v>
      </c>
      <c r="W43" s="481" t="s">
        <v>15</v>
      </c>
      <c r="X43" s="481" t="s">
        <v>16</v>
      </c>
      <c r="Y43" s="481" t="s">
        <v>18</v>
      </c>
      <c r="Z43" s="482"/>
      <c r="AA43" s="481" t="s">
        <v>19</v>
      </c>
      <c r="AB43" s="481" t="s">
        <v>20</v>
      </c>
      <c r="AC43" s="481" t="s">
        <v>21</v>
      </c>
      <c r="AD43" s="481" t="s">
        <v>22</v>
      </c>
      <c r="AE43" s="481" t="s">
        <v>28</v>
      </c>
      <c r="AF43" s="485"/>
      <c r="AG43" s="481" t="s">
        <v>355</v>
      </c>
      <c r="AH43" s="481" t="s">
        <v>356</v>
      </c>
      <c r="AI43" s="481" t="s">
        <v>357</v>
      </c>
      <c r="AJ43" s="481" t="s">
        <v>358</v>
      </c>
      <c r="AK43" s="481"/>
      <c r="AL43" s="484" t="s">
        <v>59</v>
      </c>
      <c r="AM43" s="481" t="s">
        <v>60</v>
      </c>
      <c r="AN43" s="481" t="s">
        <v>17</v>
      </c>
      <c r="AO43" s="481" t="s">
        <v>18</v>
      </c>
      <c r="AP43" s="486" t="s">
        <v>28</v>
      </c>
      <c r="AS43" s="623"/>
      <c r="AT43" s="623"/>
    </row>
    <row r="44" spans="1:46" x14ac:dyDescent="0.25">
      <c r="A44" s="155"/>
      <c r="B44" s="602" t="s">
        <v>335</v>
      </c>
      <c r="C44" s="603">
        <v>0.30053004859726945</v>
      </c>
      <c r="D44" s="603">
        <v>0.21248416768431549</v>
      </c>
      <c r="E44" s="603">
        <v>0.46949116635629068</v>
      </c>
      <c r="F44" s="603">
        <v>0.26975324926571642</v>
      </c>
      <c r="G44" s="603">
        <v>0.27698512329094449</v>
      </c>
      <c r="H44" s="604"/>
      <c r="I44" s="603">
        <v>0.38370597243491578</v>
      </c>
      <c r="J44" s="603">
        <v>-9.1043882919335212E-2</v>
      </c>
      <c r="K44" s="603">
        <v>0.3468859245630177</v>
      </c>
      <c r="L44" s="603">
        <v>0.2590632663070131</v>
      </c>
      <c r="M44" s="603">
        <v>0.26281994898407957</v>
      </c>
      <c r="N44" s="604"/>
      <c r="O44" s="603">
        <v>0.31499802136921251</v>
      </c>
      <c r="P44" s="603">
        <v>0.27097551184263358</v>
      </c>
      <c r="Q44" s="603">
        <v>0.28812763960581894</v>
      </c>
      <c r="R44" s="603">
        <v>2.6618398637137872E-2</v>
      </c>
      <c r="S44" s="603">
        <v>0.18657661460531871</v>
      </c>
      <c r="T44" s="604"/>
      <c r="U44" s="603">
        <v>0.23745498199279708</v>
      </c>
      <c r="V44" s="603">
        <v>0.31342465753424653</v>
      </c>
      <c r="W44" s="603">
        <v>0.26567332021366347</v>
      </c>
      <c r="X44" s="603">
        <v>0.3670434265318262</v>
      </c>
      <c r="Y44" s="603">
        <v>0.29265644088502785</v>
      </c>
      <c r="Z44" s="531"/>
      <c r="AA44" s="603">
        <v>0.4406146179401994</v>
      </c>
      <c r="AB44" s="603">
        <v>0.31492168178070901</v>
      </c>
      <c r="AC44" s="603">
        <v>0.26504481434058874</v>
      </c>
      <c r="AD44" s="603">
        <v>0.40331753554502359</v>
      </c>
      <c r="AE44" s="603">
        <v>0.35374505264730038</v>
      </c>
      <c r="AF44" s="531"/>
      <c r="AG44" s="603">
        <v>0.31288888888888894</v>
      </c>
      <c r="AH44" s="603"/>
      <c r="AI44" s="603"/>
      <c r="AJ44" s="603"/>
      <c r="AL44" s="603">
        <v>0.27698512329094449</v>
      </c>
      <c r="AM44" s="603">
        <v>0.26281994898407957</v>
      </c>
      <c r="AN44" s="603">
        <v>0.18657661460531871</v>
      </c>
      <c r="AO44" s="603">
        <v>0.29265644088502785</v>
      </c>
      <c r="AP44" s="603">
        <v>0.35374505264730038</v>
      </c>
      <c r="AS44" s="637"/>
      <c r="AT44" s="637"/>
    </row>
    <row r="45" spans="1:46" x14ac:dyDescent="0.25">
      <c r="A45" s="155"/>
      <c r="B45" s="602" t="s">
        <v>334</v>
      </c>
      <c r="C45" s="606">
        <v>0.11161459575482949</v>
      </c>
      <c r="D45" s="606">
        <v>9.4652673663168402E-2</v>
      </c>
      <c r="E45" s="606">
        <v>0.22161172161172155</v>
      </c>
      <c r="F45" s="606">
        <v>0.10980122192582396</v>
      </c>
      <c r="G45" s="606">
        <v>0.11744285959786904</v>
      </c>
      <c r="H45" s="607"/>
      <c r="I45" s="606">
        <v>0.24042879019908117</v>
      </c>
      <c r="J45" s="606">
        <v>0.49036683726787961</v>
      </c>
      <c r="K45" s="606">
        <v>0.29392824287028513</v>
      </c>
      <c r="L45" s="606">
        <v>0.23050514958312895</v>
      </c>
      <c r="M45" s="606">
        <v>0.26994458615533462</v>
      </c>
      <c r="N45" s="607"/>
      <c r="O45" s="606">
        <v>0.19588444796201029</v>
      </c>
      <c r="P45" s="606">
        <v>0.20072260136491368</v>
      </c>
      <c r="Q45" s="606">
        <v>0.24824026278742381</v>
      </c>
      <c r="R45" s="606">
        <v>0.26895229982964225</v>
      </c>
      <c r="S45" s="606">
        <v>0.23528915154073449</v>
      </c>
      <c r="T45" s="607"/>
      <c r="U45" s="606">
        <v>0.11068427370948378</v>
      </c>
      <c r="V45" s="606">
        <v>0.15698630136986302</v>
      </c>
      <c r="W45" s="606">
        <v>0.10317683441102052</v>
      </c>
      <c r="X45" s="606">
        <v>0.16418798334324802</v>
      </c>
      <c r="Y45" s="606">
        <v>0.13255056332292656</v>
      </c>
      <c r="Z45" s="608"/>
      <c r="AA45" s="606">
        <v>0.17815614617940198</v>
      </c>
      <c r="AB45" s="606">
        <v>0.12805715856004396</v>
      </c>
      <c r="AC45" s="606">
        <v>0.16517285531370035</v>
      </c>
      <c r="AD45" s="606">
        <v>0.19454976303317545</v>
      </c>
      <c r="AE45" s="606">
        <v>0.16667911283698009</v>
      </c>
      <c r="AF45" s="531"/>
      <c r="AG45" s="606">
        <v>0</v>
      </c>
      <c r="AH45" s="606"/>
      <c r="AI45" s="606"/>
      <c r="AJ45" s="606"/>
      <c r="AL45" s="606">
        <v>0.11744285959786904</v>
      </c>
      <c r="AM45" s="606">
        <v>0.26994458615533462</v>
      </c>
      <c r="AN45" s="606">
        <v>0.23528915154073449</v>
      </c>
      <c r="AO45" s="606">
        <v>0.13255056332292656</v>
      </c>
      <c r="AP45" s="606">
        <v>0.16667911283698009</v>
      </c>
      <c r="AS45" s="606"/>
      <c r="AT45" s="606"/>
    </row>
    <row r="46" spans="1:46" x14ac:dyDescent="0.25">
      <c r="A46" s="155"/>
      <c r="B46" s="602" t="s">
        <v>293</v>
      </c>
      <c r="C46" s="606">
        <v>0.39913918885137711</v>
      </c>
      <c r="D46" s="606">
        <v>0.30713664664909501</v>
      </c>
      <c r="E46" s="606">
        <v>0.46085455215579052</v>
      </c>
      <c r="F46" s="606">
        <v>0.13272953782739097</v>
      </c>
      <c r="G46" s="606">
        <v>0.266520352940748</v>
      </c>
      <c r="H46" s="607"/>
      <c r="I46" s="606">
        <v>4.5834313315403641</v>
      </c>
      <c r="J46" s="606">
        <v>-0.4689308748659734</v>
      </c>
      <c r="K46" s="606">
        <v>3.0568718015629948</v>
      </c>
      <c r="L46" s="606">
        <v>2.2496841126182971</v>
      </c>
      <c r="M46" s="606">
        <v>-4.1964899886563636</v>
      </c>
      <c r="N46" s="607"/>
      <c r="O46" s="606">
        <v>1.5683633946762627</v>
      </c>
      <c r="P46" s="606">
        <v>3.6084362020458616</v>
      </c>
      <c r="Q46" s="606">
        <v>-4.9707760454431815</v>
      </c>
      <c r="R46" s="606">
        <v>-0.27087910493665041</v>
      </c>
      <c r="S46" s="606">
        <v>-1.3795975077052551</v>
      </c>
      <c r="T46" s="607"/>
      <c r="U46" s="606">
        <v>0.64121085714428139</v>
      </c>
      <c r="V46" s="606">
        <v>0.67998983836137783</v>
      </c>
      <c r="W46" s="606">
        <v>0.71566125916252366</v>
      </c>
      <c r="X46" s="606">
        <v>0.59042227020768678</v>
      </c>
      <c r="Y46" s="606">
        <v>0.6533391231885235</v>
      </c>
      <c r="Z46" s="608"/>
      <c r="AA46" s="606">
        <v>0.58447720167435202</v>
      </c>
      <c r="AB46" s="606">
        <v>0.74586353051491738</v>
      </c>
      <c r="AC46" s="606">
        <v>1.2683917548157411</v>
      </c>
      <c r="AD46" s="606">
        <v>0.50736636942672642</v>
      </c>
      <c r="AE46" s="606">
        <v>0.69178310794359943</v>
      </c>
      <c r="AF46" s="531"/>
      <c r="AG46" s="606">
        <v>1.9595961783865579</v>
      </c>
      <c r="AH46" s="606"/>
      <c r="AI46" s="606"/>
      <c r="AJ46" s="606"/>
      <c r="AK46" s="609"/>
      <c r="AL46" s="606">
        <v>0.266520352940748</v>
      </c>
      <c r="AM46" s="606">
        <v>-4.1964899886563636</v>
      </c>
      <c r="AN46" s="606">
        <v>-1.3795975077052551</v>
      </c>
      <c r="AO46" s="606">
        <v>0.6533391231885235</v>
      </c>
      <c r="AP46" s="606">
        <v>0.69178310794359943</v>
      </c>
      <c r="AS46" s="606"/>
      <c r="AT46" s="606"/>
    </row>
    <row r="47" spans="1:46" x14ac:dyDescent="0.25">
      <c r="A47" s="155"/>
      <c r="B47" s="602" t="s">
        <v>336</v>
      </c>
      <c r="C47" s="603">
        <v>0.21032732978019336</v>
      </c>
      <c r="D47" s="603">
        <v>0.12271549552286702</v>
      </c>
      <c r="E47" s="603">
        <v>0.25561124380799993</v>
      </c>
      <c r="F47" s="603">
        <v>0.17365076960940104</v>
      </c>
      <c r="G47" s="603">
        <v>0.17064956366456421</v>
      </c>
      <c r="H47" s="604"/>
      <c r="I47" s="603">
        <v>0.18864837926816339</v>
      </c>
      <c r="J47" s="603">
        <v>-0.49513095216940406</v>
      </c>
      <c r="K47" s="603">
        <v>0.11119952569647351</v>
      </c>
      <c r="L47" s="603">
        <v>4.7141071726773398E-2</v>
      </c>
      <c r="M47" s="603">
        <v>3.0325280981866449E-2</v>
      </c>
      <c r="N47" s="604"/>
      <c r="O47" s="603">
        <v>0.13893284299821004</v>
      </c>
      <c r="P47" s="603">
        <v>8.3677157905870492E-2</v>
      </c>
      <c r="Q47" s="603">
        <v>5.6669699061473504E-2</v>
      </c>
      <c r="R47" s="603">
        <v>-0.23700294576235106</v>
      </c>
      <c r="S47" s="603">
        <v>-3.6528460109750964E-2</v>
      </c>
      <c r="T47" s="604"/>
      <c r="U47" s="603">
        <v>0.14730661944777909</v>
      </c>
      <c r="V47" s="603">
        <v>0.18971052536986294</v>
      </c>
      <c r="W47" s="603">
        <v>0.19366891436603911</v>
      </c>
      <c r="X47" s="603">
        <v>0.19728259580606766</v>
      </c>
      <c r="Y47" s="603">
        <v>0.18040721481607166</v>
      </c>
      <c r="Z47" s="531"/>
      <c r="AA47" s="603">
        <v>0.28176314186046519</v>
      </c>
      <c r="AB47" s="603">
        <v>0.19907317202528174</v>
      </c>
      <c r="AC47" s="603">
        <v>0.1352027374519843</v>
      </c>
      <c r="AD47" s="603">
        <v>0.21939712680094775</v>
      </c>
      <c r="AE47" s="603">
        <v>0.20544710219550441</v>
      </c>
      <c r="AF47" s="531"/>
      <c r="AG47" s="603">
        <v>0.13983023288888888</v>
      </c>
      <c r="AH47" s="603"/>
      <c r="AI47" s="603"/>
      <c r="AJ47" s="603"/>
      <c r="AK47" s="609"/>
      <c r="AL47" s="603">
        <v>0.17064956366456421</v>
      </c>
      <c r="AM47" s="603">
        <v>3.0325280981866449E-2</v>
      </c>
      <c r="AN47" s="603">
        <v>-3.6528460109750964E-2</v>
      </c>
      <c r="AO47" s="603">
        <v>0.18040721481607166</v>
      </c>
      <c r="AP47" s="603">
        <v>0.20544710219550441</v>
      </c>
      <c r="AS47" s="637"/>
      <c r="AT47" s="637"/>
    </row>
    <row r="48" spans="1:46" x14ac:dyDescent="0.25">
      <c r="A48" s="155"/>
      <c r="B48" s="602" t="s">
        <v>337</v>
      </c>
      <c r="C48" s="610">
        <v>9.8259855105909288E-2</v>
      </c>
      <c r="D48" s="610">
        <v>8.5326221886089029E-2</v>
      </c>
      <c r="E48" s="610">
        <v>0.1540213005127507</v>
      </c>
      <c r="F48" s="610">
        <v>0.17624304011620043</v>
      </c>
      <c r="G48" s="610">
        <v>0.13123858299018865</v>
      </c>
      <c r="H48" s="155"/>
      <c r="I48" s="610">
        <v>-4.693898995028125E-2</v>
      </c>
      <c r="J48" s="610">
        <v>-0.90673544773760173</v>
      </c>
      <c r="K48" s="610">
        <v>-8.1352640114092864E-2</v>
      </c>
      <c r="L48" s="610">
        <v>-0.10981350480908067</v>
      </c>
      <c r="M48" s="610">
        <v>-0.17206677236884257</v>
      </c>
      <c r="O48" s="610">
        <v>-1.6058634217860283E-3</v>
      </c>
      <c r="P48" s="610">
        <v>-0.10773699523610861</v>
      </c>
      <c r="Q48" s="610">
        <v>-0.18348193336461754</v>
      </c>
      <c r="R48" s="610">
        <v>-0.31415474331345833</v>
      </c>
      <c r="S48" s="610">
        <v>-0.18055732769945124</v>
      </c>
      <c r="T48" s="155"/>
      <c r="U48" s="610">
        <v>8.5918233325330121E-2</v>
      </c>
      <c r="V48" s="610">
        <v>8.8327109999999917E-2</v>
      </c>
      <c r="W48" s="610">
        <v>7.0676267022772341E-2</v>
      </c>
      <c r="X48" s="610">
        <v>0.11970283480071371</v>
      </c>
      <c r="Y48" s="610">
        <v>9.0544306074385753E-2</v>
      </c>
      <c r="Z48" s="531"/>
      <c r="AA48" s="610">
        <v>0.11446827977574758</v>
      </c>
      <c r="AB48" s="610">
        <v>0.12378552470458923</v>
      </c>
      <c r="AC48" s="610">
        <v>4.2982471959026526E-2</v>
      </c>
      <c r="AD48" s="610">
        <v>0.12500916841232215</v>
      </c>
      <c r="AE48" s="610">
        <v>0.10371974275259499</v>
      </c>
      <c r="AF48" s="531"/>
      <c r="AG48" s="610">
        <v>4.6312420444444453E-2</v>
      </c>
      <c r="AH48" s="610"/>
      <c r="AI48" s="610"/>
      <c r="AJ48" s="610"/>
      <c r="AL48" s="610">
        <v>0.13123858299018865</v>
      </c>
      <c r="AM48" s="610">
        <v>-0.17206677236884257</v>
      </c>
      <c r="AN48" s="610">
        <v>-0.18055732769945124</v>
      </c>
      <c r="AO48" s="610">
        <v>9.0544306074385753E-2</v>
      </c>
      <c r="AP48" s="610">
        <v>0.10371974275259499</v>
      </c>
      <c r="AS48" s="610"/>
      <c r="AT48" s="610"/>
    </row>
    <row r="49" spans="1:46" x14ac:dyDescent="0.25">
      <c r="A49" s="155"/>
      <c r="B49" s="602" t="s">
        <v>338</v>
      </c>
      <c r="C49" s="610">
        <v>0.28368980852716547</v>
      </c>
      <c r="D49" s="610">
        <v>0.54191211476724233</v>
      </c>
      <c r="E49" s="610">
        <v>0.44847882839083203</v>
      </c>
      <c r="F49" s="610">
        <v>0.38407788986441482</v>
      </c>
      <c r="G49" s="610">
        <v>0.41704367068358883</v>
      </c>
      <c r="H49" s="155"/>
      <c r="I49" s="610">
        <v>-1.4492110369043585</v>
      </c>
      <c r="J49" s="610">
        <v>6.4118362818591804E-2</v>
      </c>
      <c r="K49" s="610">
        <v>-0.46381150821232192</v>
      </c>
      <c r="L49" s="610">
        <v>-0.97182017892647354</v>
      </c>
      <c r="M49" s="610">
        <v>-0.41048403102475522</v>
      </c>
      <c r="O49" s="610">
        <v>-8.6249025443652325</v>
      </c>
      <c r="P49" s="610">
        <v>0.72287489695540064</v>
      </c>
      <c r="Q49" s="610">
        <v>-0.24040920716112532</v>
      </c>
      <c r="R49" s="610">
        <v>-3.1858560472466123E-2</v>
      </c>
      <c r="S49" s="610">
        <v>8.4163215894314438E-3</v>
      </c>
      <c r="T49" s="155"/>
      <c r="U49" s="610">
        <v>0.46388223819775154</v>
      </c>
      <c r="V49" s="610">
        <v>0.3474010584841884</v>
      </c>
      <c r="W49" s="610">
        <v>0.14806632115889168</v>
      </c>
      <c r="X49" s="610">
        <v>0.50711896341331042</v>
      </c>
      <c r="Y49" s="610">
        <v>0.38603387728350808</v>
      </c>
      <c r="Z49" s="611"/>
      <c r="AA49" s="610">
        <v>0.42809520991437627</v>
      </c>
      <c r="AB49" s="610">
        <v>0.37961572394470983</v>
      </c>
      <c r="AC49" s="610">
        <v>0.16860308160141638</v>
      </c>
      <c r="AD49" s="610">
        <v>0.38029382434386133</v>
      </c>
      <c r="AE49" s="610">
        <v>0.366832350778794</v>
      </c>
      <c r="AF49" s="611"/>
      <c r="AG49" s="610">
        <v>0.1797299103869934</v>
      </c>
      <c r="AH49" s="610"/>
      <c r="AI49" s="610"/>
      <c r="AJ49" s="610"/>
      <c r="AL49" s="610">
        <v>0.41704367068358883</v>
      </c>
      <c r="AM49" s="610">
        <v>-0.41048403102475522</v>
      </c>
      <c r="AN49" s="610">
        <v>8.4163215894314438E-3</v>
      </c>
      <c r="AO49" s="610">
        <v>0.38603387728350808</v>
      </c>
      <c r="AP49" s="610">
        <v>0.366832350778794</v>
      </c>
      <c r="AS49" s="610"/>
      <c r="AT49" s="610"/>
    </row>
    <row r="50" spans="1:46" x14ac:dyDescent="0.25">
      <c r="B50" s="612" t="s">
        <v>339</v>
      </c>
      <c r="C50" s="613">
        <v>6.990755017306316E-2</v>
      </c>
      <c r="D50" s="613">
        <v>3.9186858563687074E-2</v>
      </c>
      <c r="E50" s="613">
        <v>8.5251258416810333E-2</v>
      </c>
      <c r="F50" s="613">
        <v>0.10769147402146145</v>
      </c>
      <c r="G50" s="613">
        <v>7.6162660937694485E-2</v>
      </c>
      <c r="H50" s="155"/>
      <c r="I50" s="613">
        <v>-0.11394256320194027</v>
      </c>
      <c r="J50" s="613">
        <v>-0.84591745511543426</v>
      </c>
      <c r="K50" s="613">
        <v>-0.12322476522908823</v>
      </c>
      <c r="L50" s="613">
        <v>-0.21865770948457516</v>
      </c>
      <c r="M50" s="613">
        <v>-0.24419272891735172</v>
      </c>
      <c r="N50" s="146"/>
      <c r="O50" s="613">
        <v>-1.7039183564247447E-2</v>
      </c>
      <c r="P50" s="613">
        <v>-2.9861844694157601E-2</v>
      </c>
      <c r="Q50" s="613">
        <v>-0.23697184420459877</v>
      </c>
      <c r="R50" s="613">
        <v>-0.3209690533645656</v>
      </c>
      <c r="S50" s="613">
        <v>-0.17979751343182776</v>
      </c>
      <c r="U50" s="613">
        <v>4.5582098871548613E-2</v>
      </c>
      <c r="V50" s="613">
        <v>5.6820260684931428E-2</v>
      </c>
      <c r="W50" s="613">
        <v>5.7181749170649762E-2</v>
      </c>
      <c r="X50" s="613">
        <v>6.0511877037477541E-2</v>
      </c>
      <c r="Y50" s="613">
        <v>5.457308305280302E-2</v>
      </c>
      <c r="AA50" s="613">
        <v>6.380382794850506E-2</v>
      </c>
      <c r="AB50" s="613">
        <v>6.8000968507831883E-2</v>
      </c>
      <c r="AC50" s="613">
        <v>2.6657247887323581E-2</v>
      </c>
      <c r="AD50" s="613">
        <v>6.4345661303317384E-2</v>
      </c>
      <c r="AE50" s="613">
        <v>5.6523864924202777E-2</v>
      </c>
      <c r="AG50" s="613">
        <v>3.6534642666666679E-2</v>
      </c>
      <c r="AH50" s="613"/>
      <c r="AI50" s="613"/>
      <c r="AJ50" s="613"/>
      <c r="AL50" s="613">
        <v>7.6162660937694485E-2</v>
      </c>
      <c r="AM50" s="613">
        <v>-0.24419272891735172</v>
      </c>
      <c r="AN50" s="613">
        <v>-0.17979751343182776</v>
      </c>
      <c r="AO50" s="613">
        <v>5.457308305280302E-2</v>
      </c>
      <c r="AP50" s="613">
        <v>5.6523864924202777E-2</v>
      </c>
      <c r="AS50" s="638"/>
      <c r="AT50" s="638"/>
    </row>
    <row r="51" spans="1:46" x14ac:dyDescent="0.25">
      <c r="B51" s="612" t="s">
        <v>340</v>
      </c>
      <c r="C51" s="614">
        <v>0.57946497553751863</v>
      </c>
      <c r="D51" s="614">
        <v>0.77506082816979172</v>
      </c>
      <c r="E51" s="614">
        <v>0.55210659795091566</v>
      </c>
      <c r="F51" s="614">
        <v>2.4740192143983459</v>
      </c>
      <c r="G51" s="614">
        <v>4.3806516160565803</v>
      </c>
      <c r="H51" s="146">
        <v>5058.5</v>
      </c>
      <c r="I51" s="614">
        <v>-0.44126417181496685</v>
      </c>
      <c r="J51" s="614">
        <v>-1.8722226059574711</v>
      </c>
      <c r="K51" s="614">
        <v>-0.52958513315812572</v>
      </c>
      <c r="L51" s="614">
        <v>-2.6441221882319788</v>
      </c>
      <c r="M51" s="614">
        <v>-5.4882418405878663</v>
      </c>
      <c r="O51" s="614">
        <v>-8.5120128233376099E-2</v>
      </c>
      <c r="P51" s="614">
        <v>-0.14705121109646455</v>
      </c>
      <c r="Q51" s="614">
        <v>-0.99829396066027465</v>
      </c>
      <c r="R51" s="614">
        <v>-2.9796791036868635</v>
      </c>
      <c r="S51" s="614">
        <v>-4.2101444036769786</v>
      </c>
      <c r="U51" s="614">
        <v>0.37530778254423242</v>
      </c>
      <c r="V51" s="614">
        <v>0.40999100820401246</v>
      </c>
      <c r="W51" s="614">
        <v>0.40208655095384249</v>
      </c>
      <c r="X51" s="614">
        <v>0.40217639735099242</v>
      </c>
      <c r="Y51" s="614">
        <v>1.5895617390530785</v>
      </c>
      <c r="AA51" s="614">
        <v>0.30372564534941227</v>
      </c>
      <c r="AB51" s="614">
        <v>0.48918755441336415</v>
      </c>
      <c r="AC51" s="614">
        <v>0.16462833330038321</v>
      </c>
      <c r="AD51" s="614">
        <v>0.53679685815953226</v>
      </c>
      <c r="AE51" s="614">
        <v>1.4963152618365114</v>
      </c>
      <c r="AG51" s="614">
        <v>0.16250458831669473</v>
      </c>
      <c r="AH51" s="614"/>
      <c r="AI51" s="614"/>
      <c r="AJ51" s="614"/>
      <c r="AL51" s="614">
        <v>4.3806516160565803</v>
      </c>
      <c r="AM51" s="614">
        <v>-5.4882418405878663</v>
      </c>
      <c r="AN51" s="614">
        <v>-4.2101444036769786</v>
      </c>
      <c r="AO51" s="614">
        <v>1.5895617390530785</v>
      </c>
      <c r="AP51" s="614">
        <v>1.4963152618365114</v>
      </c>
      <c r="AS51" s="639"/>
      <c r="AT51" s="639"/>
    </row>
    <row r="52" spans="1:46" x14ac:dyDescent="0.25">
      <c r="C52" s="615"/>
      <c r="D52" s="615"/>
      <c r="E52" s="615"/>
      <c r="F52" s="615"/>
      <c r="G52" s="615"/>
      <c r="I52" s="615"/>
      <c r="J52" s="615"/>
      <c r="K52" s="615"/>
      <c r="L52" s="615"/>
      <c r="M52" s="615"/>
      <c r="O52" s="615"/>
      <c r="P52" s="615"/>
      <c r="Q52" s="615"/>
      <c r="R52" s="615"/>
      <c r="S52" s="615"/>
      <c r="U52" s="615"/>
      <c r="V52" s="615"/>
      <c r="W52" s="615"/>
      <c r="X52" s="615"/>
      <c r="Y52" s="615"/>
      <c r="AA52" s="615"/>
      <c r="AB52" s="615"/>
      <c r="AC52" s="615"/>
      <c r="AD52" s="615"/>
      <c r="AE52" s="615"/>
      <c r="AG52" s="615"/>
      <c r="AH52" s="615"/>
      <c r="AI52" s="615"/>
      <c r="AJ52" s="615"/>
      <c r="AL52" s="615"/>
      <c r="AM52" s="615"/>
      <c r="AN52" s="615"/>
      <c r="AO52" s="615"/>
      <c r="AP52" s="615"/>
      <c r="AS52" s="640"/>
      <c r="AT52" s="640"/>
    </row>
    <row r="53" spans="1:46" hidden="1" x14ac:dyDescent="0.25">
      <c r="B53" s="146" t="s">
        <v>341</v>
      </c>
      <c r="C53" s="616">
        <v>43.254509732705067</v>
      </c>
      <c r="D53" s="616">
        <v>24.978885826630552</v>
      </c>
      <c r="E53" s="616">
        <v>36.41587013988206</v>
      </c>
      <c r="F53" s="616">
        <v>11.543211528072934</v>
      </c>
      <c r="G53" s="616"/>
      <c r="I53" s="616">
        <v>67.956007675647044</v>
      </c>
      <c r="J53" s="616">
        <v>-61.317824107670234</v>
      </c>
      <c r="K53" s="616">
        <v>141.53235068419394</v>
      </c>
      <c r="L53" s="616">
        <v>104.28304249487361</v>
      </c>
      <c r="O53" s="617">
        <v>100.80787260172261</v>
      </c>
      <c r="P53" s="617">
        <v>149.64795566198214</v>
      </c>
      <c r="Q53" s="617">
        <v>277.76855701818192</v>
      </c>
      <c r="R53" s="617">
        <v>-30.182714504718469</v>
      </c>
      <c r="S53" s="616" t="s">
        <v>354</v>
      </c>
      <c r="U53" s="616">
        <v>52.812544909021632</v>
      </c>
      <c r="V53" s="616">
        <v>46.221639467571151</v>
      </c>
      <c r="W53" s="616">
        <v>50.661513417081252</v>
      </c>
      <c r="X53" s="616">
        <v>52.199735630763996</v>
      </c>
      <c r="Y53" s="616" t="s">
        <v>354</v>
      </c>
      <c r="AA53" s="616">
        <v>48.61289286501006</v>
      </c>
      <c r="AB53" s="616">
        <v>42.932232342942157</v>
      </c>
      <c r="AC53" s="616">
        <v>73.36923569618078</v>
      </c>
      <c r="AD53" s="616">
        <v>34.32887434728125</v>
      </c>
      <c r="AE53" s="616" t="s">
        <v>354</v>
      </c>
      <c r="AG53" s="616"/>
      <c r="AH53" s="616"/>
      <c r="AI53" s="616"/>
      <c r="AJ53" s="616"/>
      <c r="AL53" s="616">
        <v>11.543211528072934</v>
      </c>
      <c r="AM53" s="616">
        <v>104.28304249487361</v>
      </c>
      <c r="AN53" s="616">
        <v>-30.182714504718469</v>
      </c>
      <c r="AO53" s="616">
        <v>52.199735630763996</v>
      </c>
      <c r="AP53" s="616">
        <v>34.32887434728125</v>
      </c>
      <c r="AS53" s="641"/>
      <c r="AT53" s="641"/>
    </row>
    <row r="54" spans="1:46" hidden="1" x14ac:dyDescent="0.25">
      <c r="B54" s="618" t="s">
        <v>342</v>
      </c>
    </row>
    <row r="55" spans="1:46" hidden="1" x14ac:dyDescent="0.25">
      <c r="B55" s="618" t="s">
        <v>343</v>
      </c>
    </row>
  </sheetData>
  <phoneticPr fontId="3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E17B-8989-4D9D-A9E0-522FB3A00A1D}">
  <dimension ref="A1:AD68"/>
  <sheetViews>
    <sheetView zoomScale="104" workbookViewId="0">
      <pane xSplit="1" topLeftCell="T1" activePane="topRight" state="frozen"/>
      <selection pane="topRight" activeCell="AB15" sqref="AB15"/>
    </sheetView>
  </sheetViews>
  <sheetFormatPr defaultColWidth="8.77734375" defaultRowHeight="13.2" x14ac:dyDescent="0.25"/>
  <cols>
    <col min="1" max="1" width="55.77734375" style="146" bestFit="1" customWidth="1"/>
    <col min="2" max="3" width="15.21875" style="146" bestFit="1" customWidth="1"/>
    <col min="4" max="5" width="12.77734375" style="146" bestFit="1" customWidth="1"/>
    <col min="6" max="6" width="4" style="146" customWidth="1"/>
    <col min="7" max="7" width="12.77734375" style="146" bestFit="1" customWidth="1"/>
    <col min="8" max="8" width="15.44140625" style="146" bestFit="1" customWidth="1"/>
    <col min="9" max="10" width="12.77734375" style="146" bestFit="1" customWidth="1"/>
    <col min="11" max="11" width="4.77734375" style="146" customWidth="1"/>
    <col min="12" max="12" width="15.44140625" style="146" bestFit="1" customWidth="1"/>
    <col min="13" max="15" width="13" style="146" customWidth="1"/>
    <col min="16" max="16" width="3.6640625" style="146" customWidth="1"/>
    <col min="17" max="17" width="13.33203125" style="146" bestFit="1" customWidth="1"/>
    <col min="18" max="18" width="13.6640625" style="146" customWidth="1"/>
    <col min="19" max="19" width="13.44140625" style="146" bestFit="1" customWidth="1"/>
    <col min="20" max="20" width="13.33203125" style="146" bestFit="1" customWidth="1"/>
    <col min="21" max="21" width="3.6640625" style="146" customWidth="1"/>
    <col min="22" max="22" width="13.44140625" style="146" bestFit="1" customWidth="1"/>
    <col min="23" max="23" width="12.77734375" style="146" bestFit="1" customWidth="1"/>
    <col min="24" max="24" width="13.5546875" style="146" bestFit="1" customWidth="1"/>
    <col min="25" max="25" width="13.33203125" style="146" bestFit="1" customWidth="1"/>
    <col min="26" max="26" width="8.77734375" style="146"/>
    <col min="27" max="27" width="13.44140625" style="146" bestFit="1" customWidth="1"/>
    <col min="28" max="28" width="12.77734375" style="146" bestFit="1" customWidth="1"/>
    <col min="29" max="29" width="13.5546875" style="146" bestFit="1" customWidth="1"/>
    <col min="30" max="30" width="13.33203125" style="146" bestFit="1" customWidth="1"/>
    <col min="31" max="16384" width="8.77734375" style="146"/>
  </cols>
  <sheetData>
    <row r="1" spans="1:30" x14ac:dyDescent="0.25">
      <c r="A1" s="142" t="s">
        <v>41</v>
      </c>
      <c r="B1" s="668" t="s">
        <v>59</v>
      </c>
      <c r="C1" s="669"/>
      <c r="D1" s="669"/>
      <c r="E1" s="670"/>
      <c r="F1" s="143"/>
      <c r="G1" s="668" t="s">
        <v>60</v>
      </c>
      <c r="H1" s="669"/>
      <c r="I1" s="669"/>
      <c r="J1" s="670"/>
      <c r="K1" s="143"/>
      <c r="L1" s="668" t="s">
        <v>17</v>
      </c>
      <c r="M1" s="669"/>
      <c r="N1" s="669"/>
      <c r="O1" s="670"/>
      <c r="P1" s="144"/>
      <c r="Q1" s="665" t="s">
        <v>18</v>
      </c>
      <c r="R1" s="666"/>
      <c r="S1" s="666"/>
      <c r="T1" s="667"/>
      <c r="U1" s="145"/>
      <c r="V1" s="662" t="s">
        <v>28</v>
      </c>
      <c r="W1" s="663"/>
      <c r="X1" s="663"/>
      <c r="Y1" s="664"/>
      <c r="AA1" s="662" t="s">
        <v>359</v>
      </c>
      <c r="AB1" s="663"/>
      <c r="AC1" s="663"/>
      <c r="AD1" s="664"/>
    </row>
    <row r="2" spans="1:30" x14ac:dyDescent="0.25">
      <c r="A2" s="147" t="s">
        <v>42</v>
      </c>
      <c r="B2" s="148">
        <v>43555</v>
      </c>
      <c r="C2" s="148">
        <v>43646</v>
      </c>
      <c r="D2" s="148">
        <v>43738</v>
      </c>
      <c r="E2" s="148">
        <v>43830</v>
      </c>
      <c r="F2" s="148"/>
      <c r="G2" s="148">
        <v>43921</v>
      </c>
      <c r="H2" s="148">
        <v>44012</v>
      </c>
      <c r="I2" s="148">
        <v>44104</v>
      </c>
      <c r="J2" s="148">
        <v>44196</v>
      </c>
      <c r="K2" s="148"/>
      <c r="L2" s="148">
        <v>44286</v>
      </c>
      <c r="M2" s="148">
        <v>44377</v>
      </c>
      <c r="N2" s="148">
        <v>44469</v>
      </c>
      <c r="O2" s="148">
        <v>44561</v>
      </c>
      <c r="P2" s="144"/>
      <c r="Q2" s="148">
        <v>44651</v>
      </c>
      <c r="R2" s="148">
        <v>44742</v>
      </c>
      <c r="S2" s="148">
        <v>44834</v>
      </c>
      <c r="T2" s="148">
        <v>44926</v>
      </c>
      <c r="U2" s="145"/>
      <c r="V2" s="148">
        <v>45016</v>
      </c>
      <c r="W2" s="148">
        <v>45107</v>
      </c>
      <c r="X2" s="148">
        <v>45199</v>
      </c>
      <c r="Y2" s="148">
        <v>45291</v>
      </c>
      <c r="AA2" s="148">
        <v>45382</v>
      </c>
      <c r="AB2" s="148">
        <v>45473</v>
      </c>
      <c r="AC2" s="148">
        <v>45565</v>
      </c>
      <c r="AD2" s="148">
        <v>45657</v>
      </c>
    </row>
    <row r="3" spans="1:30" x14ac:dyDescent="0.25">
      <c r="A3" s="149" t="s">
        <v>43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1"/>
      <c r="R3" s="152"/>
      <c r="S3" s="153"/>
      <c r="T3" s="154"/>
      <c r="U3" s="155"/>
      <c r="V3" s="203"/>
      <c r="W3" s="154"/>
      <c r="X3" s="156"/>
      <c r="Y3" s="154"/>
      <c r="AA3" s="203"/>
      <c r="AB3" s="154"/>
      <c r="AC3" s="156"/>
      <c r="AD3" s="154"/>
    </row>
    <row r="4" spans="1:30" x14ac:dyDescent="0.25">
      <c r="A4" s="157" t="s">
        <v>219</v>
      </c>
      <c r="B4" s="204">
        <v>442358</v>
      </c>
      <c r="C4" s="204">
        <v>447953</v>
      </c>
      <c r="D4" s="204">
        <v>451846</v>
      </c>
      <c r="E4" s="204">
        <v>456056</v>
      </c>
      <c r="F4" s="158"/>
      <c r="G4" s="204">
        <v>452288</v>
      </c>
      <c r="H4" s="204">
        <v>444098</v>
      </c>
      <c r="I4" s="204">
        <v>440230</v>
      </c>
      <c r="J4" s="204">
        <v>478614</v>
      </c>
      <c r="K4" s="158"/>
      <c r="L4" s="204">
        <v>473135</v>
      </c>
      <c r="M4" s="204">
        <v>466075</v>
      </c>
      <c r="N4" s="204">
        <v>459947</v>
      </c>
      <c r="O4" s="204">
        <v>446687</v>
      </c>
      <c r="P4" s="158"/>
      <c r="Q4" s="159">
        <v>442161</v>
      </c>
      <c r="R4" s="160">
        <v>435706</v>
      </c>
      <c r="S4" s="161">
        <v>429929</v>
      </c>
      <c r="T4" s="162">
        <v>407260</v>
      </c>
      <c r="U4" s="155"/>
      <c r="V4" s="160">
        <v>401740</v>
      </c>
      <c r="W4" s="162">
        <v>395975</v>
      </c>
      <c r="X4" s="162">
        <v>394131</v>
      </c>
      <c r="Y4" s="162">
        <v>410045</v>
      </c>
      <c r="AA4" s="160">
        <v>404284</v>
      </c>
      <c r="AB4" s="162"/>
      <c r="AC4" s="162"/>
      <c r="AD4" s="162"/>
    </row>
    <row r="5" spans="1:30" x14ac:dyDescent="0.25">
      <c r="A5" s="146" t="s">
        <v>220</v>
      </c>
      <c r="B5" s="204">
        <v>729497</v>
      </c>
      <c r="C5" s="204">
        <v>725148</v>
      </c>
      <c r="D5" s="204">
        <v>859847</v>
      </c>
      <c r="E5" s="204">
        <v>845611</v>
      </c>
      <c r="F5" s="158"/>
      <c r="G5" s="204">
        <v>834165</v>
      </c>
      <c r="H5" s="204">
        <v>847312</v>
      </c>
      <c r="I5" s="204">
        <v>846646</v>
      </c>
      <c r="J5" s="204">
        <v>823932</v>
      </c>
      <c r="K5" s="158"/>
      <c r="L5" s="204">
        <v>825621</v>
      </c>
      <c r="M5" s="204">
        <v>822412</v>
      </c>
      <c r="N5" s="204">
        <v>814335</v>
      </c>
      <c r="O5" s="204">
        <v>798048</v>
      </c>
      <c r="P5" s="158"/>
      <c r="Q5" s="159">
        <v>796163</v>
      </c>
      <c r="R5" s="160">
        <v>786513</v>
      </c>
      <c r="S5" s="161">
        <v>781781</v>
      </c>
      <c r="T5" s="162">
        <v>780014</v>
      </c>
      <c r="U5" s="155"/>
      <c r="V5" s="160">
        <v>776445</v>
      </c>
      <c r="W5" s="162">
        <v>784653</v>
      </c>
      <c r="X5" s="162">
        <v>777078</v>
      </c>
      <c r="Y5" s="162">
        <v>744649</v>
      </c>
      <c r="AA5" s="160">
        <v>737375</v>
      </c>
      <c r="AB5" s="162"/>
      <c r="AC5" s="162"/>
      <c r="AD5" s="162"/>
    </row>
    <row r="6" spans="1:30" x14ac:dyDescent="0.25">
      <c r="A6" s="157" t="s">
        <v>221</v>
      </c>
      <c r="B6" s="204">
        <v>36610</v>
      </c>
      <c r="C6" s="204">
        <v>33936</v>
      </c>
      <c r="D6" s="204">
        <v>31187</v>
      </c>
      <c r="E6" s="204">
        <v>28529</v>
      </c>
      <c r="F6" s="158"/>
      <c r="G6" s="204">
        <v>25791</v>
      </c>
      <c r="H6" s="204">
        <v>23073</v>
      </c>
      <c r="I6" s="204">
        <v>20557</v>
      </c>
      <c r="J6" s="204">
        <v>17411</v>
      </c>
      <c r="K6" s="158"/>
      <c r="L6" s="204">
        <v>15026</v>
      </c>
      <c r="M6" s="204">
        <v>11977</v>
      </c>
      <c r="N6" s="204">
        <v>10046</v>
      </c>
      <c r="O6" s="204">
        <v>7684</v>
      </c>
      <c r="P6" s="158"/>
      <c r="Q6" s="159">
        <v>5518</v>
      </c>
      <c r="R6" s="160">
        <v>3247</v>
      </c>
      <c r="S6" s="161">
        <v>2055</v>
      </c>
      <c r="T6" s="162">
        <v>21831</v>
      </c>
      <c r="U6" s="155"/>
      <c r="V6" s="160">
        <v>20755</v>
      </c>
      <c r="W6" s="162">
        <v>19790</v>
      </c>
      <c r="X6" s="162">
        <v>18834</v>
      </c>
      <c r="Y6" s="162">
        <v>17723</v>
      </c>
      <c r="AA6" s="160">
        <v>17384</v>
      </c>
      <c r="AB6" s="162"/>
      <c r="AC6" s="162"/>
      <c r="AD6" s="162"/>
    </row>
    <row r="7" spans="1:30" x14ac:dyDescent="0.25">
      <c r="A7" s="157" t="s">
        <v>222</v>
      </c>
      <c r="B7" s="204">
        <v>4718197</v>
      </c>
      <c r="C7" s="204">
        <v>5594659</v>
      </c>
      <c r="D7" s="204">
        <v>5636697</v>
      </c>
      <c r="E7" s="204">
        <v>5618794</v>
      </c>
      <c r="F7" s="158"/>
      <c r="G7" s="204">
        <v>5693378</v>
      </c>
      <c r="H7" s="204">
        <v>5660890</v>
      </c>
      <c r="I7" s="204">
        <v>5716643</v>
      </c>
      <c r="J7" s="204">
        <v>5832747</v>
      </c>
      <c r="K7" s="158"/>
      <c r="L7" s="204">
        <v>5951039</v>
      </c>
      <c r="M7" s="204">
        <v>5111143</v>
      </c>
      <c r="N7" s="204">
        <v>5175372</v>
      </c>
      <c r="O7" s="204">
        <v>5511773</v>
      </c>
      <c r="P7" s="158"/>
      <c r="Q7" s="159">
        <v>5486164</v>
      </c>
      <c r="R7" s="160">
        <v>5422868</v>
      </c>
      <c r="S7" s="161">
        <v>5430965</v>
      </c>
      <c r="T7" s="162">
        <v>5158456</v>
      </c>
      <c r="U7" s="155"/>
      <c r="V7" s="160">
        <v>5149506</v>
      </c>
      <c r="W7" s="162">
        <v>5169187</v>
      </c>
      <c r="X7" s="162">
        <v>5101200</v>
      </c>
      <c r="Y7" s="162">
        <v>5224711</v>
      </c>
      <c r="AA7" s="160">
        <v>5397396</v>
      </c>
      <c r="AB7" s="162"/>
      <c r="AC7" s="162"/>
      <c r="AD7" s="162"/>
    </row>
    <row r="8" spans="1:30" x14ac:dyDescent="0.25">
      <c r="A8" s="157" t="s">
        <v>223</v>
      </c>
      <c r="B8" s="204">
        <v>493013</v>
      </c>
      <c r="C8" s="204">
        <v>487797</v>
      </c>
      <c r="D8" s="204">
        <v>485942</v>
      </c>
      <c r="E8" s="204">
        <v>498572</v>
      </c>
      <c r="F8" s="158"/>
      <c r="G8" s="204">
        <v>496674</v>
      </c>
      <c r="H8" s="204">
        <v>496461</v>
      </c>
      <c r="I8" s="204">
        <v>498325</v>
      </c>
      <c r="J8" s="204">
        <v>486611</v>
      </c>
      <c r="K8" s="158"/>
      <c r="L8" s="204">
        <v>496431</v>
      </c>
      <c r="M8" s="204">
        <v>853460</v>
      </c>
      <c r="N8" s="204">
        <v>848864</v>
      </c>
      <c r="O8" s="204">
        <v>850358</v>
      </c>
      <c r="P8" s="158"/>
      <c r="Q8" s="159">
        <v>850491</v>
      </c>
      <c r="R8" s="160">
        <v>831217</v>
      </c>
      <c r="S8" s="161">
        <v>830448</v>
      </c>
      <c r="T8" s="162">
        <v>844980</v>
      </c>
      <c r="U8" s="155"/>
      <c r="V8" s="160">
        <v>833304</v>
      </c>
      <c r="W8" s="162">
        <v>847401</v>
      </c>
      <c r="X8" s="162">
        <v>843704</v>
      </c>
      <c r="Y8" s="162">
        <v>839177</v>
      </c>
      <c r="AA8" s="160">
        <v>848783</v>
      </c>
      <c r="AB8" s="162"/>
      <c r="AC8" s="162"/>
      <c r="AD8" s="162"/>
    </row>
    <row r="9" spans="1:30" x14ac:dyDescent="0.25">
      <c r="A9" s="163" t="s">
        <v>224</v>
      </c>
      <c r="B9" s="204">
        <v>1009683</v>
      </c>
      <c r="C9" s="204">
        <v>997136</v>
      </c>
      <c r="D9" s="204">
        <v>1038195</v>
      </c>
      <c r="E9" s="204">
        <v>1030838</v>
      </c>
      <c r="F9" s="158"/>
      <c r="G9" s="204">
        <v>1027080</v>
      </c>
      <c r="H9" s="204">
        <v>1014676</v>
      </c>
      <c r="I9" s="204">
        <v>1018407</v>
      </c>
      <c r="J9" s="204">
        <v>989012</v>
      </c>
      <c r="K9" s="158"/>
      <c r="L9" s="204">
        <v>990559</v>
      </c>
      <c r="M9" s="204">
        <v>994298</v>
      </c>
      <c r="N9" s="204">
        <v>924417</v>
      </c>
      <c r="O9" s="204">
        <v>893338</v>
      </c>
      <c r="P9" s="158"/>
      <c r="Q9" s="159">
        <v>904418</v>
      </c>
      <c r="R9" s="160">
        <v>876508</v>
      </c>
      <c r="S9" s="161">
        <v>888033</v>
      </c>
      <c r="T9" s="162">
        <v>891191</v>
      </c>
      <c r="U9" s="155"/>
      <c r="V9" s="160">
        <v>886242</v>
      </c>
      <c r="W9" s="162">
        <v>910931</v>
      </c>
      <c r="X9" s="162">
        <v>890456</v>
      </c>
      <c r="Y9" s="162">
        <v>870981</v>
      </c>
      <c r="AA9" s="160">
        <v>878241</v>
      </c>
      <c r="AB9" s="162"/>
      <c r="AC9" s="162"/>
      <c r="AD9" s="162"/>
    </row>
    <row r="10" spans="1:30" x14ac:dyDescent="0.25">
      <c r="A10" s="163" t="s">
        <v>70</v>
      </c>
      <c r="B10" s="204">
        <v>257876</v>
      </c>
      <c r="C10" s="204">
        <v>258612</v>
      </c>
      <c r="D10" s="204">
        <v>157720</v>
      </c>
      <c r="E10" s="204">
        <v>158464</v>
      </c>
      <c r="F10" s="158"/>
      <c r="G10" s="204">
        <v>199662</v>
      </c>
      <c r="H10" s="204">
        <v>200412</v>
      </c>
      <c r="I10" s="204">
        <v>190540</v>
      </c>
      <c r="J10" s="204">
        <v>173252</v>
      </c>
      <c r="K10" s="158"/>
      <c r="L10" s="204">
        <v>172785</v>
      </c>
      <c r="M10" s="204">
        <v>169294</v>
      </c>
      <c r="N10" s="204">
        <v>167269</v>
      </c>
      <c r="O10" s="204">
        <v>165309</v>
      </c>
      <c r="P10" s="158"/>
      <c r="Q10" s="159">
        <v>163077</v>
      </c>
      <c r="R10" s="160">
        <v>163534</v>
      </c>
      <c r="S10" s="161">
        <v>161395</v>
      </c>
      <c r="T10" s="162">
        <v>156982</v>
      </c>
      <c r="U10" s="155"/>
      <c r="V10" s="160">
        <v>156982</v>
      </c>
      <c r="W10" s="162">
        <v>152154</v>
      </c>
      <c r="X10" s="162">
        <v>149622</v>
      </c>
      <c r="Y10" s="162">
        <v>184800</v>
      </c>
      <c r="AA10" s="160">
        <v>182506</v>
      </c>
      <c r="AB10" s="162"/>
      <c r="AC10" s="162"/>
      <c r="AD10" s="162"/>
    </row>
    <row r="11" spans="1:30" x14ac:dyDescent="0.25">
      <c r="A11" s="163" t="s">
        <v>74</v>
      </c>
      <c r="B11" s="204"/>
      <c r="C11" s="204"/>
      <c r="D11" s="204"/>
      <c r="E11" s="204"/>
      <c r="F11" s="158"/>
      <c r="G11" s="204"/>
      <c r="H11" s="204">
        <v>0</v>
      </c>
      <c r="I11" s="204">
        <v>0</v>
      </c>
      <c r="J11" s="204">
        <v>9745</v>
      </c>
      <c r="K11" s="158"/>
      <c r="L11" s="204">
        <v>9745</v>
      </c>
      <c r="M11" s="204">
        <v>9745</v>
      </c>
      <c r="N11" s="204">
        <v>12454</v>
      </c>
      <c r="O11" s="204">
        <v>0</v>
      </c>
      <c r="P11" s="158"/>
      <c r="Q11" s="159">
        <v>0</v>
      </c>
      <c r="R11" s="160">
        <v>0</v>
      </c>
      <c r="S11" s="161">
        <v>0</v>
      </c>
      <c r="T11" s="162">
        <v>0</v>
      </c>
      <c r="U11" s="155"/>
      <c r="V11" s="160">
        <v>0</v>
      </c>
      <c r="W11" s="162">
        <v>0</v>
      </c>
      <c r="X11" s="162">
        <v>0</v>
      </c>
      <c r="Y11" s="162">
        <v>0</v>
      </c>
      <c r="AA11" s="160">
        <v>0</v>
      </c>
      <c r="AB11" s="162"/>
      <c r="AC11" s="162"/>
      <c r="AD11" s="162"/>
    </row>
    <row r="12" spans="1:30" x14ac:dyDescent="0.25">
      <c r="A12" s="157" t="s">
        <v>226</v>
      </c>
      <c r="B12" s="204">
        <v>621409</v>
      </c>
      <c r="C12" s="204">
        <v>621409</v>
      </c>
      <c r="D12" s="204">
        <v>621409</v>
      </c>
      <c r="E12" s="204">
        <v>621409</v>
      </c>
      <c r="F12" s="158"/>
      <c r="G12" s="204">
        <v>621409</v>
      </c>
      <c r="H12" s="204">
        <v>621409</v>
      </c>
      <c r="I12" s="204">
        <v>621409</v>
      </c>
      <c r="J12" s="204">
        <v>621409</v>
      </c>
      <c r="K12" s="158"/>
      <c r="L12" s="204">
        <v>621409</v>
      </c>
      <c r="M12" s="204">
        <v>621409</v>
      </c>
      <c r="N12" s="204">
        <v>621409</v>
      </c>
      <c r="O12" s="204">
        <v>621409</v>
      </c>
      <c r="P12" s="158"/>
      <c r="Q12" s="159">
        <v>621409</v>
      </c>
      <c r="R12" s="160">
        <v>621409</v>
      </c>
      <c r="S12" s="161">
        <v>621409</v>
      </c>
      <c r="T12" s="162">
        <v>621409</v>
      </c>
      <c r="U12" s="155"/>
      <c r="V12" s="160">
        <v>621409</v>
      </c>
      <c r="W12" s="162">
        <v>621409</v>
      </c>
      <c r="X12" s="162">
        <v>621409</v>
      </c>
      <c r="Y12" s="162">
        <v>621409</v>
      </c>
      <c r="AA12" s="160">
        <v>621409</v>
      </c>
      <c r="AB12" s="162"/>
      <c r="AC12" s="162"/>
      <c r="AD12" s="162"/>
    </row>
    <row r="13" spans="1:30" x14ac:dyDescent="0.25">
      <c r="A13" s="157" t="s">
        <v>44</v>
      </c>
      <c r="B13" s="204">
        <v>8630</v>
      </c>
      <c r="C13" s="204">
        <v>3519</v>
      </c>
      <c r="D13" s="204">
        <v>2984</v>
      </c>
      <c r="E13" s="204">
        <v>2752</v>
      </c>
      <c r="F13" s="158"/>
      <c r="G13" s="204">
        <v>2343</v>
      </c>
      <c r="H13" s="204">
        <v>2376</v>
      </c>
      <c r="I13" s="204">
        <v>1644</v>
      </c>
      <c r="J13" s="204">
        <v>0</v>
      </c>
      <c r="K13" s="158"/>
      <c r="L13" s="204">
        <v>0</v>
      </c>
      <c r="M13" s="204">
        <v>0</v>
      </c>
      <c r="N13" s="204">
        <v>0</v>
      </c>
      <c r="O13" s="204">
        <v>0</v>
      </c>
      <c r="P13" s="158"/>
      <c r="Q13" s="159">
        <v>0</v>
      </c>
      <c r="R13" s="160">
        <v>0</v>
      </c>
      <c r="S13" s="161">
        <v>0</v>
      </c>
      <c r="T13" s="162">
        <v>0</v>
      </c>
      <c r="U13" s="155"/>
      <c r="V13" s="160">
        <v>0</v>
      </c>
      <c r="W13" s="162">
        <v>0</v>
      </c>
      <c r="X13" s="162">
        <v>0</v>
      </c>
      <c r="Y13" s="162">
        <v>0</v>
      </c>
      <c r="AA13" s="160">
        <v>0</v>
      </c>
      <c r="AB13" s="162"/>
      <c r="AC13" s="162"/>
      <c r="AD13" s="162"/>
    </row>
    <row r="14" spans="1:30" x14ac:dyDescent="0.25">
      <c r="A14" s="157" t="s">
        <v>45</v>
      </c>
      <c r="B14" s="204">
        <v>291092</v>
      </c>
      <c r="C14" s="204">
        <v>298513</v>
      </c>
      <c r="D14" s="204">
        <v>297826</v>
      </c>
      <c r="E14" s="204">
        <v>282926</v>
      </c>
      <c r="F14" s="158"/>
      <c r="G14" s="204">
        <v>289338</v>
      </c>
      <c r="H14" s="204">
        <v>299358</v>
      </c>
      <c r="I14" s="204">
        <v>294788</v>
      </c>
      <c r="J14" s="204">
        <v>255760</v>
      </c>
      <c r="K14" s="158"/>
      <c r="L14" s="204">
        <v>257970</v>
      </c>
      <c r="M14" s="204">
        <v>280179</v>
      </c>
      <c r="N14" s="204">
        <v>284805</v>
      </c>
      <c r="O14" s="204">
        <v>290191</v>
      </c>
      <c r="P14" s="158"/>
      <c r="Q14" s="159">
        <v>283457</v>
      </c>
      <c r="R14" s="160">
        <v>279745</v>
      </c>
      <c r="S14" s="161">
        <v>280329</v>
      </c>
      <c r="T14" s="162">
        <v>283003</v>
      </c>
      <c r="U14" s="155"/>
      <c r="V14" s="160">
        <v>274221</v>
      </c>
      <c r="W14" s="162">
        <v>264047</v>
      </c>
      <c r="X14" s="162">
        <v>257495</v>
      </c>
      <c r="Y14" s="162">
        <v>268424</v>
      </c>
      <c r="AA14" s="160">
        <v>285568</v>
      </c>
      <c r="AB14" s="162"/>
      <c r="AC14" s="162"/>
      <c r="AD14" s="162"/>
    </row>
    <row r="15" spans="1:30" x14ac:dyDescent="0.25">
      <c r="A15" s="157" t="s">
        <v>259</v>
      </c>
      <c r="B15" s="204"/>
      <c r="C15" s="204"/>
      <c r="D15" s="204"/>
      <c r="E15" s="204"/>
      <c r="F15" s="158"/>
      <c r="G15" s="204"/>
      <c r="H15" s="204"/>
      <c r="I15" s="204">
        <v>5002</v>
      </c>
      <c r="J15" s="204">
        <v>5000</v>
      </c>
      <c r="K15" s="158"/>
      <c r="L15" s="204">
        <v>5000</v>
      </c>
      <c r="M15" s="204">
        <v>5000</v>
      </c>
      <c r="N15" s="204">
        <v>5000</v>
      </c>
      <c r="O15" s="204">
        <v>0</v>
      </c>
      <c r="P15" s="158"/>
      <c r="Q15" s="159">
        <v>0</v>
      </c>
      <c r="R15" s="160">
        <v>0</v>
      </c>
      <c r="S15" s="161">
        <v>0</v>
      </c>
      <c r="T15" s="162">
        <v>0</v>
      </c>
      <c r="U15" s="155"/>
      <c r="V15" s="160">
        <v>0</v>
      </c>
      <c r="W15" s="162">
        <v>0</v>
      </c>
      <c r="X15" s="162">
        <v>0</v>
      </c>
      <c r="Y15" s="162">
        <v>0</v>
      </c>
      <c r="AA15" s="160">
        <v>0</v>
      </c>
      <c r="AB15" s="162"/>
      <c r="AC15" s="162"/>
      <c r="AD15" s="162"/>
    </row>
    <row r="16" spans="1:30" x14ac:dyDescent="0.25">
      <c r="A16" s="164" t="s">
        <v>71</v>
      </c>
      <c r="B16" s="204">
        <v>96759</v>
      </c>
      <c r="C16" s="204">
        <v>172481</v>
      </c>
      <c r="D16" s="204">
        <v>173383</v>
      </c>
      <c r="E16" s="204">
        <v>166052</v>
      </c>
      <c r="F16" s="158"/>
      <c r="G16" s="204">
        <v>154767</v>
      </c>
      <c r="H16" s="204">
        <v>154129</v>
      </c>
      <c r="I16" s="204">
        <v>157073</v>
      </c>
      <c r="J16" s="204">
        <v>145355</v>
      </c>
      <c r="K16" s="158"/>
      <c r="L16" s="204">
        <v>145787</v>
      </c>
      <c r="M16" s="204">
        <v>148130</v>
      </c>
      <c r="N16" s="204">
        <v>142487</v>
      </c>
      <c r="O16" s="204">
        <v>293116</v>
      </c>
      <c r="P16" s="158"/>
      <c r="Q16" s="159">
        <v>438801</v>
      </c>
      <c r="R16" s="160">
        <v>399239</v>
      </c>
      <c r="S16" s="161">
        <v>402656</v>
      </c>
      <c r="T16" s="162">
        <v>360295</v>
      </c>
      <c r="U16" s="155"/>
      <c r="V16" s="160">
        <v>362316</v>
      </c>
      <c r="W16" s="162">
        <v>364611</v>
      </c>
      <c r="X16" s="162">
        <v>361652</v>
      </c>
      <c r="Y16" s="162">
        <v>240855</v>
      </c>
      <c r="AA16" s="160">
        <v>247097</v>
      </c>
      <c r="AB16" s="162"/>
      <c r="AC16" s="162"/>
      <c r="AD16" s="162"/>
    </row>
    <row r="17" spans="1:30" x14ac:dyDescent="0.25">
      <c r="A17" s="164"/>
      <c r="B17" s="207">
        <v>8705124</v>
      </c>
      <c r="C17" s="207">
        <v>9641163</v>
      </c>
      <c r="D17" s="207">
        <v>9757036</v>
      </c>
      <c r="E17" s="207">
        <v>9710003</v>
      </c>
      <c r="F17" s="158"/>
      <c r="G17" s="207">
        <v>9796895</v>
      </c>
      <c r="H17" s="207">
        <v>9764194</v>
      </c>
      <c r="I17" s="207">
        <v>9811264</v>
      </c>
      <c r="J17" s="207">
        <v>9838848</v>
      </c>
      <c r="K17" s="158"/>
      <c r="L17" s="207">
        <v>9964507</v>
      </c>
      <c r="M17" s="207">
        <v>9493122</v>
      </c>
      <c r="N17" s="207">
        <v>9466405</v>
      </c>
      <c r="O17" s="207">
        <v>9877913</v>
      </c>
      <c r="P17" s="158"/>
      <c r="Q17" s="298">
        <v>9991659</v>
      </c>
      <c r="R17" s="298">
        <v>9819986</v>
      </c>
      <c r="S17" s="298">
        <v>9829000</v>
      </c>
      <c r="T17" s="187">
        <v>9525421</v>
      </c>
      <c r="U17" s="155"/>
      <c r="V17" s="298">
        <v>9482920</v>
      </c>
      <c r="W17" s="298">
        <v>9530158</v>
      </c>
      <c r="X17" s="298">
        <v>9415581</v>
      </c>
      <c r="Y17" s="187">
        <v>9422774</v>
      </c>
      <c r="AA17" s="298">
        <v>9620043</v>
      </c>
      <c r="AB17" s="298">
        <v>0</v>
      </c>
      <c r="AC17" s="298">
        <v>0</v>
      </c>
      <c r="AD17" s="187">
        <v>0</v>
      </c>
    </row>
    <row r="18" spans="1:30" x14ac:dyDescent="0.25">
      <c r="A18" s="164"/>
      <c r="B18" s="204"/>
      <c r="C18" s="204"/>
      <c r="D18" s="204"/>
      <c r="E18" s="204"/>
      <c r="F18" s="165"/>
      <c r="G18" s="204"/>
      <c r="H18" s="204"/>
      <c r="I18" s="165"/>
      <c r="J18" s="165"/>
      <c r="K18" s="165"/>
      <c r="L18" s="204"/>
      <c r="M18" s="204"/>
      <c r="N18" s="204"/>
      <c r="O18" s="204"/>
      <c r="P18" s="165"/>
      <c r="Q18" s="166"/>
      <c r="R18" s="167"/>
      <c r="S18" s="168"/>
      <c r="T18" s="169"/>
      <c r="U18" s="155"/>
      <c r="V18" s="201"/>
      <c r="W18" s="169"/>
      <c r="X18" s="169"/>
      <c r="Y18" s="169"/>
      <c r="AA18" s="201"/>
      <c r="AB18" s="169"/>
      <c r="AC18" s="169"/>
      <c r="AD18" s="169"/>
    </row>
    <row r="19" spans="1:30" x14ac:dyDescent="0.25">
      <c r="A19" s="149" t="s">
        <v>46</v>
      </c>
      <c r="B19" s="205"/>
      <c r="C19" s="205"/>
      <c r="D19" s="205"/>
      <c r="E19" s="205"/>
      <c r="F19" s="150"/>
      <c r="G19" s="205"/>
      <c r="H19" s="205"/>
      <c r="I19" s="150"/>
      <c r="J19" s="150"/>
      <c r="K19" s="150"/>
      <c r="L19" s="205"/>
      <c r="M19" s="205"/>
      <c r="N19" s="205"/>
      <c r="O19" s="205"/>
      <c r="P19" s="150"/>
      <c r="Q19" s="166"/>
      <c r="R19" s="167"/>
      <c r="S19" s="168"/>
      <c r="T19" s="169"/>
      <c r="U19" s="155"/>
      <c r="V19" s="167"/>
      <c r="W19" s="169"/>
      <c r="X19" s="169"/>
      <c r="Y19" s="169"/>
      <c r="AA19" s="167"/>
      <c r="AB19" s="169"/>
      <c r="AC19" s="169"/>
      <c r="AD19" s="169"/>
    </row>
    <row r="20" spans="1:30" x14ac:dyDescent="0.25">
      <c r="A20" s="157" t="s">
        <v>229</v>
      </c>
      <c r="B20" s="204">
        <v>51113</v>
      </c>
      <c r="C20" s="204">
        <v>13793</v>
      </c>
      <c r="D20" s="204">
        <v>13793</v>
      </c>
      <c r="E20" s="204">
        <v>0</v>
      </c>
      <c r="F20" s="150"/>
      <c r="G20" s="204">
        <v>0</v>
      </c>
      <c r="H20" s="204">
        <v>0</v>
      </c>
      <c r="I20" s="204">
        <v>0</v>
      </c>
      <c r="J20" s="204">
        <v>0</v>
      </c>
      <c r="K20" s="158"/>
      <c r="L20" s="204">
        <v>0</v>
      </c>
      <c r="M20" s="204">
        <v>0</v>
      </c>
      <c r="N20" s="204">
        <v>0</v>
      </c>
      <c r="O20" s="204">
        <v>0</v>
      </c>
      <c r="P20" s="158"/>
      <c r="Q20" s="166">
        <v>0</v>
      </c>
      <c r="R20" s="167">
        <v>0</v>
      </c>
      <c r="S20" s="168">
        <v>0</v>
      </c>
      <c r="T20" s="169">
        <v>0</v>
      </c>
      <c r="U20" s="155"/>
      <c r="V20" s="167">
        <v>0</v>
      </c>
      <c r="W20" s="169">
        <v>0</v>
      </c>
      <c r="X20" s="169">
        <v>0</v>
      </c>
      <c r="Y20" s="169">
        <v>0</v>
      </c>
      <c r="AA20" s="167">
        <v>0</v>
      </c>
      <c r="AB20" s="169"/>
      <c r="AC20" s="169"/>
      <c r="AD20" s="169"/>
    </row>
    <row r="21" spans="1:30" x14ac:dyDescent="0.25">
      <c r="A21" s="164" t="s">
        <v>227</v>
      </c>
      <c r="B21" s="204">
        <v>1850308</v>
      </c>
      <c r="C21" s="204">
        <v>1347431</v>
      </c>
      <c r="D21" s="204">
        <v>1104533</v>
      </c>
      <c r="E21" s="204">
        <v>877385</v>
      </c>
      <c r="F21" s="165"/>
      <c r="G21" s="204">
        <v>913226</v>
      </c>
      <c r="H21" s="204">
        <v>999889</v>
      </c>
      <c r="I21" s="204">
        <v>986908</v>
      </c>
      <c r="J21" s="204">
        <v>958232</v>
      </c>
      <c r="K21" s="165"/>
      <c r="L21" s="204">
        <v>1028094</v>
      </c>
      <c r="M21" s="204">
        <v>1018733</v>
      </c>
      <c r="N21" s="272">
        <v>990701</v>
      </c>
      <c r="O21" s="272">
        <v>743731</v>
      </c>
      <c r="P21" s="165"/>
      <c r="Q21" s="166">
        <v>715966</v>
      </c>
      <c r="R21" s="167">
        <v>770079</v>
      </c>
      <c r="S21" s="168">
        <v>780060</v>
      </c>
      <c r="T21" s="169">
        <v>869135</v>
      </c>
      <c r="U21" s="155"/>
      <c r="V21" s="167">
        <v>991088</v>
      </c>
      <c r="W21" s="169">
        <v>995768</v>
      </c>
      <c r="X21" s="169">
        <v>1067243</v>
      </c>
      <c r="Y21" s="169">
        <v>710753</v>
      </c>
      <c r="AA21" s="167">
        <v>682391</v>
      </c>
      <c r="AB21" s="169"/>
      <c r="AC21" s="169"/>
      <c r="AD21" s="169"/>
    </row>
    <row r="22" spans="1:30" x14ac:dyDescent="0.25">
      <c r="A22" s="164" t="s">
        <v>72</v>
      </c>
      <c r="B22" s="204">
        <v>0</v>
      </c>
      <c r="C22" s="204">
        <v>0</v>
      </c>
      <c r="D22" s="204">
        <v>0</v>
      </c>
      <c r="E22" s="204">
        <v>0</v>
      </c>
      <c r="F22" s="165"/>
      <c r="G22" s="204">
        <v>0</v>
      </c>
      <c r="H22" s="204">
        <v>0</v>
      </c>
      <c r="I22" s="204">
        <v>0</v>
      </c>
      <c r="J22" s="204">
        <v>0</v>
      </c>
      <c r="K22" s="165"/>
      <c r="L22" s="204">
        <v>0</v>
      </c>
      <c r="M22" s="204">
        <v>0</v>
      </c>
      <c r="N22" s="272">
        <v>0</v>
      </c>
      <c r="O22" s="272">
        <v>0</v>
      </c>
      <c r="P22" s="165"/>
      <c r="Q22" s="166">
        <v>0</v>
      </c>
      <c r="R22" s="167">
        <v>0</v>
      </c>
      <c r="S22" s="168">
        <v>0</v>
      </c>
      <c r="T22" s="169">
        <v>109567</v>
      </c>
      <c r="U22" s="155"/>
      <c r="V22" s="167">
        <v>0</v>
      </c>
      <c r="W22" s="169">
        <v>0</v>
      </c>
      <c r="X22" s="169">
        <v>0</v>
      </c>
      <c r="Y22" s="169">
        <v>221894</v>
      </c>
      <c r="AA22" s="167">
        <v>259766</v>
      </c>
      <c r="AB22" s="169"/>
      <c r="AC22" s="169"/>
      <c r="AD22" s="169"/>
    </row>
    <row r="23" spans="1:30" x14ac:dyDescent="0.25">
      <c r="A23" s="157" t="s">
        <v>230</v>
      </c>
      <c r="B23" s="204">
        <v>704548</v>
      </c>
      <c r="C23" s="204">
        <v>628787</v>
      </c>
      <c r="D23" s="204">
        <v>588031</v>
      </c>
      <c r="E23" s="204">
        <v>546527</v>
      </c>
      <c r="F23" s="158"/>
      <c r="G23" s="204">
        <v>528478</v>
      </c>
      <c r="H23" s="204">
        <v>484041</v>
      </c>
      <c r="I23" s="204">
        <v>498191</v>
      </c>
      <c r="J23" s="204">
        <v>468414</v>
      </c>
      <c r="K23" s="158"/>
      <c r="L23" s="204">
        <v>432514</v>
      </c>
      <c r="M23" s="204">
        <v>403169</v>
      </c>
      <c r="N23" s="204">
        <v>424499</v>
      </c>
      <c r="O23" s="204">
        <v>396920</v>
      </c>
      <c r="P23" s="158"/>
      <c r="Q23" s="166">
        <v>372260</v>
      </c>
      <c r="R23" s="167">
        <v>276309</v>
      </c>
      <c r="S23" s="168">
        <v>227079</v>
      </c>
      <c r="T23" s="169">
        <v>203005</v>
      </c>
      <c r="U23" s="155"/>
      <c r="V23" s="167">
        <v>175650</v>
      </c>
      <c r="W23" s="169">
        <v>145955</v>
      </c>
      <c r="X23" s="169">
        <v>135790</v>
      </c>
      <c r="Y23" s="169">
        <v>127417</v>
      </c>
      <c r="AA23" s="167">
        <v>118170</v>
      </c>
      <c r="AB23" s="169"/>
      <c r="AC23" s="169"/>
      <c r="AD23" s="169"/>
    </row>
    <row r="24" spans="1:30" x14ac:dyDescent="0.25">
      <c r="A24" s="164" t="s">
        <v>231</v>
      </c>
      <c r="B24" s="204">
        <v>433852</v>
      </c>
      <c r="C24" s="204">
        <v>472008</v>
      </c>
      <c r="D24" s="204">
        <v>775955</v>
      </c>
      <c r="E24" s="204">
        <v>408304</v>
      </c>
      <c r="F24" s="165"/>
      <c r="G24" s="204">
        <v>345351</v>
      </c>
      <c r="H24" s="204">
        <v>370664</v>
      </c>
      <c r="I24" s="204">
        <v>356246</v>
      </c>
      <c r="J24" s="204">
        <v>112118</v>
      </c>
      <c r="K24" s="165"/>
      <c r="L24" s="204">
        <v>111288</v>
      </c>
      <c r="M24" s="204">
        <v>108841</v>
      </c>
      <c r="N24" s="272">
        <v>64304</v>
      </c>
      <c r="O24" s="272">
        <v>59967</v>
      </c>
      <c r="P24" s="165"/>
      <c r="Q24" s="166">
        <v>51188</v>
      </c>
      <c r="R24" s="167">
        <v>72532</v>
      </c>
      <c r="S24" s="168">
        <v>34114</v>
      </c>
      <c r="T24" s="169">
        <v>102096</v>
      </c>
      <c r="U24" s="155"/>
      <c r="V24" s="167">
        <v>97068</v>
      </c>
      <c r="W24" s="169">
        <v>76647</v>
      </c>
      <c r="X24" s="169">
        <v>77044</v>
      </c>
      <c r="Y24" s="169">
        <v>154227</v>
      </c>
      <c r="AA24" s="167">
        <v>153391</v>
      </c>
      <c r="AB24" s="169"/>
      <c r="AC24" s="169"/>
      <c r="AD24" s="169"/>
    </row>
    <row r="25" spans="1:30" x14ac:dyDescent="0.25">
      <c r="A25" s="157" t="s">
        <v>73</v>
      </c>
      <c r="B25" s="204">
        <v>819870</v>
      </c>
      <c r="C25" s="204">
        <v>722443</v>
      </c>
      <c r="D25" s="204">
        <v>633227</v>
      </c>
      <c r="E25" s="204">
        <v>641741</v>
      </c>
      <c r="F25" s="158"/>
      <c r="G25" s="204">
        <v>516220</v>
      </c>
      <c r="H25" s="204">
        <v>489564</v>
      </c>
      <c r="I25" s="204">
        <v>535373</v>
      </c>
      <c r="J25" s="204">
        <v>494297</v>
      </c>
      <c r="K25" s="158"/>
      <c r="L25" s="204">
        <v>545745</v>
      </c>
      <c r="M25" s="204">
        <v>507382</v>
      </c>
      <c r="N25" s="204">
        <v>501170</v>
      </c>
      <c r="O25" s="204">
        <v>484675</v>
      </c>
      <c r="P25" s="158"/>
      <c r="Q25" s="166">
        <v>484419</v>
      </c>
      <c r="R25" s="167">
        <v>537356</v>
      </c>
      <c r="S25" s="168">
        <v>533170.3142838612</v>
      </c>
      <c r="T25" s="169">
        <v>672969</v>
      </c>
      <c r="U25" s="155"/>
      <c r="V25" s="167">
        <v>634051</v>
      </c>
      <c r="W25" s="169">
        <v>562674</v>
      </c>
      <c r="X25" s="169">
        <v>508068</v>
      </c>
      <c r="Y25" s="169">
        <v>528882</v>
      </c>
      <c r="AA25" s="167">
        <v>535580</v>
      </c>
      <c r="AB25" s="169"/>
      <c r="AC25" s="169"/>
      <c r="AD25" s="169"/>
    </row>
    <row r="26" spans="1:30" x14ac:dyDescent="0.25">
      <c r="A26" s="157" t="s">
        <v>360</v>
      </c>
      <c r="B26" s="204"/>
      <c r="C26" s="204"/>
      <c r="D26" s="204"/>
      <c r="E26" s="204"/>
      <c r="F26" s="158"/>
      <c r="G26" s="204"/>
      <c r="H26" s="204"/>
      <c r="I26" s="204"/>
      <c r="J26" s="204"/>
      <c r="K26" s="158"/>
      <c r="L26" s="204"/>
      <c r="M26" s="204"/>
      <c r="N26" s="204"/>
      <c r="O26" s="204"/>
      <c r="P26" s="158"/>
      <c r="Q26" s="166"/>
      <c r="R26" s="167"/>
      <c r="S26" s="168"/>
      <c r="T26" s="169"/>
      <c r="U26" s="155"/>
      <c r="V26" s="167"/>
      <c r="W26" s="169"/>
      <c r="X26" s="169"/>
      <c r="Y26" s="169">
        <v>121946</v>
      </c>
      <c r="AA26" s="167">
        <v>103356</v>
      </c>
      <c r="AB26" s="169"/>
      <c r="AC26" s="169"/>
      <c r="AD26" s="169"/>
    </row>
    <row r="27" spans="1:30" x14ac:dyDescent="0.25">
      <c r="A27" s="157" t="s">
        <v>44</v>
      </c>
      <c r="B27" s="204">
        <v>170571</v>
      </c>
      <c r="C27" s="204">
        <v>110752</v>
      </c>
      <c r="D27" s="204">
        <v>155563</v>
      </c>
      <c r="E27" s="204">
        <v>175988</v>
      </c>
      <c r="F27" s="158"/>
      <c r="G27" s="204">
        <v>177304</v>
      </c>
      <c r="H27" s="204">
        <v>181086</v>
      </c>
      <c r="I27" s="204">
        <v>190546</v>
      </c>
      <c r="J27" s="204">
        <v>242745</v>
      </c>
      <c r="K27" s="158"/>
      <c r="L27" s="204">
        <v>295449</v>
      </c>
      <c r="M27" s="204">
        <v>354074</v>
      </c>
      <c r="N27" s="204">
        <v>401649</v>
      </c>
      <c r="O27" s="204">
        <v>474239</v>
      </c>
      <c r="P27" s="158"/>
      <c r="Q27" s="166">
        <v>440702</v>
      </c>
      <c r="R27" s="167">
        <v>518839</v>
      </c>
      <c r="S27" s="168">
        <v>561741</v>
      </c>
      <c r="T27" s="169">
        <v>374672</v>
      </c>
      <c r="U27" s="155"/>
      <c r="V27" s="167">
        <v>319125</v>
      </c>
      <c r="W27" s="169">
        <v>373011</v>
      </c>
      <c r="X27" s="169">
        <v>410564</v>
      </c>
      <c r="Y27" s="169">
        <v>330423</v>
      </c>
      <c r="AA27" s="167">
        <v>332966</v>
      </c>
      <c r="AB27" s="169"/>
      <c r="AC27" s="169"/>
      <c r="AD27" s="169"/>
    </row>
    <row r="28" spans="1:30" x14ac:dyDescent="0.25">
      <c r="A28" s="157" t="s">
        <v>74</v>
      </c>
      <c r="B28" s="204">
        <v>7325</v>
      </c>
      <c r="C28" s="204">
        <v>8707</v>
      </c>
      <c r="D28" s="204">
        <v>8901</v>
      </c>
      <c r="E28" s="204">
        <v>14938</v>
      </c>
      <c r="F28" s="158"/>
      <c r="G28" s="204">
        <v>14009</v>
      </c>
      <c r="H28" s="204">
        <v>13943</v>
      </c>
      <c r="I28" s="204">
        <v>14987</v>
      </c>
      <c r="J28" s="204">
        <v>950</v>
      </c>
      <c r="K28" s="158"/>
      <c r="L28" s="204">
        <v>1066</v>
      </c>
      <c r="M28" s="204">
        <v>1091</v>
      </c>
      <c r="N28" s="204">
        <v>1403</v>
      </c>
      <c r="O28" s="204">
        <v>389</v>
      </c>
      <c r="P28" s="158"/>
      <c r="Q28" s="166">
        <v>289</v>
      </c>
      <c r="R28" s="167">
        <v>10141</v>
      </c>
      <c r="S28" s="168">
        <v>10213</v>
      </c>
      <c r="T28" s="169">
        <v>612</v>
      </c>
      <c r="U28" s="155"/>
      <c r="V28" s="167">
        <v>10211</v>
      </c>
      <c r="W28" s="169">
        <v>612</v>
      </c>
      <c r="X28" s="169">
        <v>610</v>
      </c>
      <c r="Y28" s="169">
        <v>610</v>
      </c>
      <c r="AA28" s="167">
        <v>389</v>
      </c>
      <c r="AB28" s="169"/>
      <c r="AC28" s="169"/>
      <c r="AD28" s="169"/>
    </row>
    <row r="29" spans="1:30" x14ac:dyDescent="0.25">
      <c r="A29" s="157" t="s">
        <v>70</v>
      </c>
      <c r="B29" s="204">
        <v>76270</v>
      </c>
      <c r="C29" s="204">
        <v>74235</v>
      </c>
      <c r="D29" s="204">
        <v>35062</v>
      </c>
      <c r="E29" s="204">
        <v>38265</v>
      </c>
      <c r="F29" s="158"/>
      <c r="G29" s="204">
        <v>40847</v>
      </c>
      <c r="H29" s="204">
        <v>45159</v>
      </c>
      <c r="I29" s="204">
        <v>56228</v>
      </c>
      <c r="J29" s="204">
        <v>61104</v>
      </c>
      <c r="K29" s="158"/>
      <c r="L29" s="204">
        <v>64073</v>
      </c>
      <c r="M29" s="204">
        <v>69243</v>
      </c>
      <c r="N29" s="204">
        <v>74183</v>
      </c>
      <c r="O29" s="204">
        <v>82120</v>
      </c>
      <c r="P29" s="158"/>
      <c r="Q29" s="166">
        <v>88011</v>
      </c>
      <c r="R29" s="167">
        <v>90744</v>
      </c>
      <c r="S29" s="168">
        <v>94868</v>
      </c>
      <c r="T29" s="169">
        <v>103473</v>
      </c>
      <c r="U29" s="155"/>
      <c r="V29" s="167">
        <v>104320</v>
      </c>
      <c r="W29" s="169">
        <v>102515</v>
      </c>
      <c r="X29" s="169">
        <v>104844</v>
      </c>
      <c r="Y29" s="169">
        <v>212915</v>
      </c>
      <c r="AA29" s="167">
        <v>161122</v>
      </c>
      <c r="AB29" s="169"/>
      <c r="AC29" s="169"/>
      <c r="AD29" s="169"/>
    </row>
    <row r="30" spans="1:30" x14ac:dyDescent="0.25">
      <c r="A30" s="157" t="s">
        <v>225</v>
      </c>
      <c r="B30" s="204">
        <v>15041</v>
      </c>
      <c r="C30" s="204">
        <v>16409</v>
      </c>
      <c r="D30" s="204">
        <v>11929</v>
      </c>
      <c r="E30" s="204">
        <v>0</v>
      </c>
      <c r="F30" s="158"/>
      <c r="G30" s="204">
        <v>0</v>
      </c>
      <c r="H30" s="204">
        <v>0</v>
      </c>
      <c r="I30" s="204">
        <v>0</v>
      </c>
      <c r="J30" s="204">
        <v>0</v>
      </c>
      <c r="K30" s="158"/>
      <c r="L30" s="204">
        <v>0</v>
      </c>
      <c r="M30" s="204">
        <v>0</v>
      </c>
      <c r="N30" s="204">
        <v>0</v>
      </c>
      <c r="O30" s="204">
        <v>0</v>
      </c>
      <c r="P30" s="158"/>
      <c r="Q30" s="166">
        <v>0</v>
      </c>
      <c r="R30" s="167">
        <v>0</v>
      </c>
      <c r="S30" s="168">
        <v>0</v>
      </c>
      <c r="T30" s="169">
        <v>0</v>
      </c>
      <c r="U30" s="155"/>
      <c r="V30" s="167">
        <v>0</v>
      </c>
      <c r="W30" s="169">
        <v>0</v>
      </c>
      <c r="X30" s="169">
        <v>0</v>
      </c>
      <c r="Y30" s="169">
        <v>0</v>
      </c>
      <c r="AA30" s="167">
        <v>0</v>
      </c>
      <c r="AB30" s="169"/>
      <c r="AC30" s="169"/>
      <c r="AD30" s="169"/>
    </row>
    <row r="31" spans="1:30" x14ac:dyDescent="0.25">
      <c r="A31" s="157" t="s">
        <v>260</v>
      </c>
      <c r="B31" s="204">
        <v>350597</v>
      </c>
      <c r="C31" s="204">
        <v>327</v>
      </c>
      <c r="D31" s="204">
        <v>329</v>
      </c>
      <c r="E31" s="204">
        <v>329</v>
      </c>
      <c r="F31" s="158"/>
      <c r="G31" s="204">
        <v>329</v>
      </c>
      <c r="H31" s="204">
        <v>596328</v>
      </c>
      <c r="I31" s="204">
        <v>464129</v>
      </c>
      <c r="J31" s="204">
        <v>216936</v>
      </c>
      <c r="K31" s="158"/>
      <c r="L31" s="204">
        <v>492284</v>
      </c>
      <c r="M31" s="204">
        <v>151038</v>
      </c>
      <c r="N31" s="204">
        <v>301712</v>
      </c>
      <c r="O31" s="204">
        <v>5005</v>
      </c>
      <c r="P31" s="158"/>
      <c r="Q31" s="166">
        <v>5005</v>
      </c>
      <c r="R31" s="167">
        <v>5005</v>
      </c>
      <c r="S31" s="168">
        <v>5</v>
      </c>
      <c r="T31" s="169">
        <v>45005</v>
      </c>
      <c r="U31" s="155"/>
      <c r="V31" s="167">
        <v>157015</v>
      </c>
      <c r="W31" s="169">
        <v>5</v>
      </c>
      <c r="X31" s="169">
        <v>5</v>
      </c>
      <c r="Y31" s="169">
        <v>90560</v>
      </c>
      <c r="AA31" s="167">
        <v>2105</v>
      </c>
      <c r="AB31" s="169"/>
      <c r="AC31" s="169"/>
      <c r="AD31" s="169"/>
    </row>
    <row r="32" spans="1:30" x14ac:dyDescent="0.25">
      <c r="A32" s="157" t="s">
        <v>228</v>
      </c>
      <c r="B32" s="204">
        <v>671572</v>
      </c>
      <c r="C32" s="204">
        <v>893314</v>
      </c>
      <c r="D32" s="204">
        <v>713521</v>
      </c>
      <c r="E32" s="204">
        <v>1057446</v>
      </c>
      <c r="F32" s="158"/>
      <c r="G32" s="204">
        <v>864323</v>
      </c>
      <c r="H32" s="204">
        <v>788947</v>
      </c>
      <c r="I32" s="204">
        <v>1044510</v>
      </c>
      <c r="J32" s="204">
        <v>1086269</v>
      </c>
      <c r="K32" s="158"/>
      <c r="L32" s="204">
        <v>970783</v>
      </c>
      <c r="M32" s="204">
        <v>1147405</v>
      </c>
      <c r="N32" s="204">
        <v>871800</v>
      </c>
      <c r="O32" s="204">
        <v>853027</v>
      </c>
      <c r="P32" s="158"/>
      <c r="Q32" s="166">
        <v>812613</v>
      </c>
      <c r="R32" s="167">
        <v>934835</v>
      </c>
      <c r="S32" s="168">
        <v>950311</v>
      </c>
      <c r="T32" s="169">
        <v>1025551</v>
      </c>
      <c r="U32" s="155"/>
      <c r="V32" s="167">
        <v>1100671</v>
      </c>
      <c r="W32" s="169">
        <v>1544899</v>
      </c>
      <c r="X32" s="169">
        <v>1112529</v>
      </c>
      <c r="Y32" s="169">
        <v>1001572</v>
      </c>
      <c r="AA32" s="167">
        <v>1003007</v>
      </c>
      <c r="AB32" s="169"/>
      <c r="AC32" s="169"/>
      <c r="AD32" s="169"/>
    </row>
    <row r="33" spans="1:30" x14ac:dyDescent="0.25">
      <c r="A33" s="164"/>
      <c r="B33" s="206">
        <v>5151067</v>
      </c>
      <c r="C33" s="206">
        <v>4288206</v>
      </c>
      <c r="D33" s="206">
        <v>4040844</v>
      </c>
      <c r="E33" s="206">
        <v>3760923</v>
      </c>
      <c r="F33" s="158"/>
      <c r="G33" s="206">
        <v>3400087</v>
      </c>
      <c r="H33" s="206">
        <v>3969621</v>
      </c>
      <c r="I33" s="206">
        <v>4147118</v>
      </c>
      <c r="J33" s="206">
        <v>3641065</v>
      </c>
      <c r="K33" s="158"/>
      <c r="L33" s="206">
        <v>3941296</v>
      </c>
      <c r="M33" s="206">
        <v>3760976</v>
      </c>
      <c r="N33" s="206">
        <v>3631421</v>
      </c>
      <c r="O33" s="206">
        <v>3100073</v>
      </c>
      <c r="P33" s="165"/>
      <c r="Q33" s="206">
        <v>2970453</v>
      </c>
      <c r="R33" s="206">
        <v>3215840</v>
      </c>
      <c r="S33" s="206">
        <v>3191561.3142838613</v>
      </c>
      <c r="T33" s="307">
        <v>3506085</v>
      </c>
      <c r="U33" s="155"/>
      <c r="V33" s="206">
        <v>3589199</v>
      </c>
      <c r="W33" s="206">
        <v>3802086</v>
      </c>
      <c r="X33" s="206">
        <v>3416697</v>
      </c>
      <c r="Y33" s="307">
        <v>3501199</v>
      </c>
      <c r="AA33" s="307">
        <v>3352243</v>
      </c>
      <c r="AB33" s="307">
        <v>0</v>
      </c>
      <c r="AC33" s="307">
        <v>0</v>
      </c>
      <c r="AD33" s="307">
        <v>0</v>
      </c>
    </row>
    <row r="34" spans="1:30" x14ac:dyDescent="0.25">
      <c r="A34" s="164" t="s">
        <v>75</v>
      </c>
      <c r="B34" s="170">
        <v>0</v>
      </c>
      <c r="C34" s="228">
        <v>0</v>
      </c>
      <c r="D34" s="228">
        <v>0</v>
      </c>
      <c r="E34" s="228">
        <v>0</v>
      </c>
      <c r="F34" s="158"/>
      <c r="G34" s="170"/>
      <c r="H34" s="210"/>
      <c r="I34" s="210"/>
      <c r="J34" s="210"/>
      <c r="K34" s="158"/>
      <c r="L34" s="210"/>
      <c r="M34" s="273"/>
      <c r="N34" s="274"/>
      <c r="O34" s="275"/>
      <c r="P34" s="165"/>
      <c r="Q34" s="170"/>
      <c r="R34" s="171"/>
      <c r="S34" s="172">
        <v>6383.6857161388098</v>
      </c>
      <c r="T34" s="169">
        <v>22397</v>
      </c>
      <c r="U34" s="155"/>
      <c r="V34" s="167">
        <v>22473</v>
      </c>
      <c r="W34" s="173">
        <v>22473</v>
      </c>
      <c r="X34" s="173">
        <v>33700</v>
      </c>
      <c r="Y34" s="173">
        <v>49561</v>
      </c>
      <c r="AA34" s="167">
        <v>50458</v>
      </c>
      <c r="AB34" s="173"/>
      <c r="AC34" s="173"/>
      <c r="AD34" s="173"/>
    </row>
    <row r="35" spans="1:30" ht="13.8" thickBot="1" x14ac:dyDescent="0.3">
      <c r="A35" s="149" t="s">
        <v>47</v>
      </c>
      <c r="B35" s="211">
        <v>13856191</v>
      </c>
      <c r="C35" s="211">
        <v>13929369</v>
      </c>
      <c r="D35" s="211">
        <v>13797880</v>
      </c>
      <c r="E35" s="211">
        <v>13470926</v>
      </c>
      <c r="F35" s="158"/>
      <c r="G35" s="174">
        <v>13196982</v>
      </c>
      <c r="H35" s="211">
        <v>13733815</v>
      </c>
      <c r="I35" s="211">
        <v>13958382</v>
      </c>
      <c r="J35" s="211">
        <v>13479913</v>
      </c>
      <c r="K35" s="158"/>
      <c r="L35" s="211">
        <v>13905803</v>
      </c>
      <c r="M35" s="211">
        <v>13254098</v>
      </c>
      <c r="N35" s="211">
        <v>13097826</v>
      </c>
      <c r="O35" s="211">
        <v>12977986</v>
      </c>
      <c r="P35" s="150"/>
      <c r="Q35" s="211">
        <v>12962112</v>
      </c>
      <c r="R35" s="211">
        <v>13035826</v>
      </c>
      <c r="S35" s="211">
        <v>13026945</v>
      </c>
      <c r="T35" s="196">
        <v>13053903</v>
      </c>
      <c r="U35" s="155"/>
      <c r="V35" s="211">
        <v>13094592</v>
      </c>
      <c r="W35" s="211">
        <v>13354717</v>
      </c>
      <c r="X35" s="211">
        <v>12865978</v>
      </c>
      <c r="Y35" s="196">
        <v>12973534</v>
      </c>
      <c r="AA35" s="211">
        <v>13022744</v>
      </c>
      <c r="AB35" s="211">
        <v>0</v>
      </c>
      <c r="AC35" s="211">
        <v>0</v>
      </c>
      <c r="AD35" s="211">
        <v>0</v>
      </c>
    </row>
    <row r="36" spans="1:30" ht="13.8" thickTop="1" x14ac:dyDescent="0.25">
      <c r="A36" s="175"/>
      <c r="B36" s="176"/>
      <c r="C36" s="199"/>
      <c r="D36" s="199"/>
      <c r="E36" s="199"/>
      <c r="F36" s="158"/>
      <c r="G36" s="176"/>
      <c r="H36" s="199"/>
      <c r="I36" s="176"/>
      <c r="J36" s="176"/>
      <c r="K36" s="158"/>
      <c r="L36" s="199"/>
      <c r="M36" s="199"/>
      <c r="N36" s="199"/>
      <c r="O36" s="199"/>
      <c r="P36" s="176"/>
      <c r="Q36" s="177"/>
      <c r="R36" s="178"/>
      <c r="S36" s="179"/>
      <c r="T36" s="180" t="s">
        <v>29</v>
      </c>
      <c r="U36" s="155"/>
      <c r="V36" s="200"/>
      <c r="W36" s="180"/>
      <c r="X36" s="180"/>
      <c r="Y36" s="180"/>
      <c r="AA36" s="200"/>
      <c r="AB36" s="180"/>
      <c r="AC36" s="180"/>
      <c r="AD36" s="180"/>
    </row>
    <row r="37" spans="1:30" x14ac:dyDescent="0.25">
      <c r="A37" s="164"/>
      <c r="B37" s="165"/>
      <c r="C37" s="204"/>
      <c r="D37" s="204"/>
      <c r="E37" s="204"/>
      <c r="F37" s="158"/>
      <c r="G37" s="165"/>
      <c r="H37" s="204"/>
      <c r="I37" s="165"/>
      <c r="J37" s="165"/>
      <c r="K37" s="158"/>
      <c r="L37" s="204"/>
      <c r="M37" s="204"/>
      <c r="N37" s="204"/>
      <c r="O37" s="204"/>
      <c r="P37" s="165"/>
      <c r="Q37" s="166"/>
      <c r="R37" s="167"/>
      <c r="S37" s="168"/>
      <c r="T37" s="169" t="s">
        <v>29</v>
      </c>
      <c r="U37" s="155"/>
      <c r="V37" s="201"/>
      <c r="W37" s="169"/>
      <c r="X37" s="169"/>
      <c r="Y37" s="169"/>
      <c r="AA37" s="201"/>
      <c r="AB37" s="169"/>
      <c r="AC37" s="169"/>
      <c r="AD37" s="169"/>
    </row>
    <row r="38" spans="1:30" x14ac:dyDescent="0.25">
      <c r="A38" s="149" t="s">
        <v>48</v>
      </c>
      <c r="B38" s="150"/>
      <c r="C38" s="205"/>
      <c r="D38" s="205"/>
      <c r="E38" s="205"/>
      <c r="F38" s="158"/>
      <c r="G38" s="150"/>
      <c r="H38" s="205"/>
      <c r="I38" s="150"/>
      <c r="J38" s="150"/>
      <c r="K38" s="158"/>
      <c r="L38" s="205"/>
      <c r="M38" s="205"/>
      <c r="N38" s="205"/>
      <c r="O38" s="205"/>
      <c r="P38" s="150"/>
      <c r="Q38" s="166"/>
      <c r="R38" s="167"/>
      <c r="S38" s="168"/>
      <c r="T38" s="169" t="s">
        <v>29</v>
      </c>
      <c r="U38" s="155"/>
      <c r="V38" s="167"/>
      <c r="W38" s="169"/>
      <c r="X38" s="169"/>
      <c r="Y38" s="169"/>
      <c r="AA38" s="167"/>
      <c r="AB38" s="169"/>
      <c r="AC38" s="169"/>
      <c r="AD38" s="169"/>
    </row>
    <row r="39" spans="1:30" x14ac:dyDescent="0.25">
      <c r="A39" s="157" t="s">
        <v>76</v>
      </c>
      <c r="B39" s="204">
        <v>2690124</v>
      </c>
      <c r="C39" s="204">
        <v>2545577</v>
      </c>
      <c r="D39" s="204">
        <v>2638672</v>
      </c>
      <c r="E39" s="204">
        <v>2337883</v>
      </c>
      <c r="F39" s="158"/>
      <c r="G39" s="158">
        <v>2409672</v>
      </c>
      <c r="H39" s="204">
        <v>2602013</v>
      </c>
      <c r="I39" s="204">
        <v>2588964</v>
      </c>
      <c r="J39" s="204">
        <v>2600292</v>
      </c>
      <c r="K39" s="158"/>
      <c r="L39" s="204">
        <v>3027135</v>
      </c>
      <c r="M39" s="204">
        <v>3145132</v>
      </c>
      <c r="N39" s="204">
        <v>3570901</v>
      </c>
      <c r="O39" s="204">
        <v>3212554</v>
      </c>
      <c r="P39" s="158"/>
      <c r="Q39" s="166">
        <v>3249608</v>
      </c>
      <c r="R39" s="166">
        <v>2427103</v>
      </c>
      <c r="S39" s="166">
        <v>2376861</v>
      </c>
      <c r="T39" s="167">
        <v>2360637</v>
      </c>
      <c r="U39" s="155"/>
      <c r="V39" s="167">
        <v>2233818</v>
      </c>
      <c r="W39" s="169">
        <v>2885069</v>
      </c>
      <c r="X39" s="169">
        <v>2889095</v>
      </c>
      <c r="Y39" s="169">
        <v>3164259</v>
      </c>
      <c r="AA39" s="167">
        <v>3625619</v>
      </c>
      <c r="AB39" s="169"/>
      <c r="AC39" s="169"/>
      <c r="AD39" s="169"/>
    </row>
    <row r="40" spans="1:30" x14ac:dyDescent="0.25">
      <c r="A40" s="164" t="s">
        <v>77</v>
      </c>
      <c r="B40" s="204">
        <v>27381</v>
      </c>
      <c r="C40" s="204">
        <v>24973</v>
      </c>
      <c r="D40" s="204">
        <v>22456</v>
      </c>
      <c r="E40" s="204">
        <v>19714</v>
      </c>
      <c r="F40" s="158"/>
      <c r="G40" s="158">
        <v>17234</v>
      </c>
      <c r="H40" s="204">
        <v>14295</v>
      </c>
      <c r="I40" s="204">
        <v>11079</v>
      </c>
      <c r="J40" s="204">
        <v>8560</v>
      </c>
      <c r="K40" s="158"/>
      <c r="L40" s="204">
        <v>6318</v>
      </c>
      <c r="M40" s="204">
        <v>3821</v>
      </c>
      <c r="N40" s="272">
        <v>1203</v>
      </c>
      <c r="O40" s="272">
        <v>286</v>
      </c>
      <c r="P40" s="165"/>
      <c r="Q40" s="166">
        <v>79</v>
      </c>
      <c r="R40" s="166">
        <v>32</v>
      </c>
      <c r="S40" s="167">
        <v>48</v>
      </c>
      <c r="T40" s="167">
        <v>18414</v>
      </c>
      <c r="U40" s="155"/>
      <c r="V40" s="167">
        <v>17510</v>
      </c>
      <c r="W40" s="169">
        <v>16532</v>
      </c>
      <c r="X40" s="169">
        <v>15612</v>
      </c>
      <c r="Y40" s="169">
        <v>14608</v>
      </c>
      <c r="AA40" s="167">
        <v>14110</v>
      </c>
      <c r="AB40" s="169"/>
      <c r="AC40" s="169"/>
      <c r="AD40" s="169"/>
    </row>
    <row r="41" spans="1:30" x14ac:dyDescent="0.25">
      <c r="A41" s="157" t="s">
        <v>78</v>
      </c>
      <c r="B41" s="204">
        <v>6084</v>
      </c>
      <c r="C41" s="204">
        <v>147197</v>
      </c>
      <c r="D41" s="204">
        <v>178806</v>
      </c>
      <c r="E41" s="204">
        <v>170241</v>
      </c>
      <c r="F41" s="158"/>
      <c r="G41" s="158">
        <v>173510</v>
      </c>
      <c r="H41" s="204">
        <v>34146</v>
      </c>
      <c r="I41" s="204">
        <v>100516</v>
      </c>
      <c r="J41" s="204">
        <v>141153</v>
      </c>
      <c r="K41" s="158"/>
      <c r="L41" s="204">
        <v>104501</v>
      </c>
      <c r="M41" s="204">
        <v>105627</v>
      </c>
      <c r="N41" s="204">
        <v>94265</v>
      </c>
      <c r="O41" s="204">
        <v>81777</v>
      </c>
      <c r="P41" s="158"/>
      <c r="Q41" s="166">
        <v>50831</v>
      </c>
      <c r="R41" s="166">
        <v>51813</v>
      </c>
      <c r="S41" s="167">
        <v>15949</v>
      </c>
      <c r="T41" s="167">
        <v>45976</v>
      </c>
      <c r="U41" s="155"/>
      <c r="V41" s="167">
        <v>46562</v>
      </c>
      <c r="W41" s="169">
        <v>47147</v>
      </c>
      <c r="X41" s="169">
        <v>40068</v>
      </c>
      <c r="Y41" s="169">
        <v>23952</v>
      </c>
      <c r="AA41" s="167">
        <v>109040</v>
      </c>
      <c r="AB41" s="169"/>
      <c r="AC41" s="169"/>
      <c r="AD41" s="169"/>
    </row>
    <row r="42" spans="1:30" x14ac:dyDescent="0.25">
      <c r="A42" s="164" t="s">
        <v>50</v>
      </c>
      <c r="B42" s="204">
        <v>285766</v>
      </c>
      <c r="C42" s="204">
        <v>280484</v>
      </c>
      <c r="D42" s="204">
        <v>272744</v>
      </c>
      <c r="E42" s="204">
        <v>258646</v>
      </c>
      <c r="F42" s="158"/>
      <c r="G42" s="158">
        <v>253580</v>
      </c>
      <c r="H42" s="204">
        <v>252493</v>
      </c>
      <c r="I42" s="204">
        <v>245188</v>
      </c>
      <c r="J42" s="204">
        <v>227799</v>
      </c>
      <c r="K42" s="158"/>
      <c r="L42" s="204">
        <v>227199</v>
      </c>
      <c r="M42" s="204">
        <v>217017</v>
      </c>
      <c r="N42" s="272">
        <v>212132</v>
      </c>
      <c r="O42" s="272">
        <v>220551</v>
      </c>
      <c r="P42" s="165"/>
      <c r="Q42" s="166">
        <v>236642</v>
      </c>
      <c r="R42" s="166">
        <v>256222</v>
      </c>
      <c r="S42" s="167">
        <v>255033</v>
      </c>
      <c r="T42" s="167">
        <v>239678</v>
      </c>
      <c r="U42" s="155"/>
      <c r="V42" s="167">
        <v>233712</v>
      </c>
      <c r="W42" s="169">
        <v>242146</v>
      </c>
      <c r="X42" s="169">
        <v>248498</v>
      </c>
      <c r="Y42" s="169">
        <v>210081</v>
      </c>
      <c r="AA42" s="167">
        <v>304180</v>
      </c>
      <c r="AB42" s="169"/>
      <c r="AC42" s="169"/>
      <c r="AD42" s="169"/>
    </row>
    <row r="43" spans="1:30" x14ac:dyDescent="0.25">
      <c r="A43" s="181" t="s">
        <v>79</v>
      </c>
      <c r="B43" s="204">
        <v>151813</v>
      </c>
      <c r="C43" s="204">
        <v>151768</v>
      </c>
      <c r="D43" s="204">
        <v>162717</v>
      </c>
      <c r="E43" s="204">
        <v>164193</v>
      </c>
      <c r="F43" s="158"/>
      <c r="G43" s="158">
        <v>164091</v>
      </c>
      <c r="H43" s="204">
        <v>164053</v>
      </c>
      <c r="I43" s="204">
        <v>163983</v>
      </c>
      <c r="J43" s="204">
        <v>163890</v>
      </c>
      <c r="K43" s="158"/>
      <c r="L43" s="204">
        <v>163880</v>
      </c>
      <c r="M43" s="204">
        <v>163839</v>
      </c>
      <c r="N43" s="272">
        <v>163831</v>
      </c>
      <c r="O43" s="272">
        <v>163509</v>
      </c>
      <c r="P43" s="182"/>
      <c r="Q43" s="166">
        <v>163481</v>
      </c>
      <c r="R43" s="166">
        <v>163462</v>
      </c>
      <c r="S43" s="167">
        <v>163417</v>
      </c>
      <c r="T43" s="167">
        <v>162839</v>
      </c>
      <c r="U43" s="155"/>
      <c r="V43" s="167">
        <v>178154</v>
      </c>
      <c r="W43" s="169">
        <v>193880</v>
      </c>
      <c r="X43" s="169">
        <v>194036</v>
      </c>
      <c r="Y43" s="169">
        <v>243652</v>
      </c>
      <c r="AA43" s="167">
        <v>243584</v>
      </c>
      <c r="AB43" s="169"/>
      <c r="AC43" s="169"/>
      <c r="AD43" s="169"/>
    </row>
    <row r="44" spans="1:30" x14ac:dyDescent="0.25">
      <c r="A44" s="157" t="s">
        <v>80</v>
      </c>
      <c r="B44" s="204">
        <v>85862</v>
      </c>
      <c r="C44" s="204">
        <v>85862</v>
      </c>
      <c r="D44" s="204">
        <v>67047</v>
      </c>
      <c r="E44" s="204">
        <v>68404</v>
      </c>
      <c r="F44" s="158"/>
      <c r="G44" s="158">
        <v>68317</v>
      </c>
      <c r="H44" s="204">
        <v>68317</v>
      </c>
      <c r="I44" s="204">
        <v>68318</v>
      </c>
      <c r="J44" s="204">
        <v>68317</v>
      </c>
      <c r="K44" s="158"/>
      <c r="L44" s="204">
        <v>68317</v>
      </c>
      <c r="M44" s="204">
        <v>68317</v>
      </c>
      <c r="N44" s="204">
        <v>68317</v>
      </c>
      <c r="O44" s="204">
        <v>68279</v>
      </c>
      <c r="P44" s="158"/>
      <c r="Q44" s="166">
        <v>68279</v>
      </c>
      <c r="R44" s="166">
        <v>68279</v>
      </c>
      <c r="S44" s="167">
        <v>68279</v>
      </c>
      <c r="T44" s="167">
        <v>68317</v>
      </c>
      <c r="U44" s="155"/>
      <c r="V44" s="167">
        <v>29884</v>
      </c>
      <c r="W44" s="169">
        <v>29884</v>
      </c>
      <c r="X44" s="169">
        <v>29971</v>
      </c>
      <c r="Y44" s="169">
        <v>9310</v>
      </c>
      <c r="AA44" s="167">
        <v>10135</v>
      </c>
      <c r="AB44" s="169"/>
      <c r="AC44" s="169"/>
      <c r="AD44" s="169"/>
    </row>
    <row r="45" spans="1:30" x14ac:dyDescent="0.25">
      <c r="A45" s="157" t="s">
        <v>49</v>
      </c>
      <c r="B45" s="208">
        <v>229259</v>
      </c>
      <c r="C45" s="204">
        <v>229662</v>
      </c>
      <c r="D45" s="208">
        <v>227639</v>
      </c>
      <c r="E45" s="204">
        <v>238426</v>
      </c>
      <c r="F45" s="158"/>
      <c r="G45" s="158">
        <v>192255</v>
      </c>
      <c r="H45" s="208">
        <v>191402</v>
      </c>
      <c r="I45" s="208">
        <v>191983</v>
      </c>
      <c r="J45" s="204">
        <v>164410</v>
      </c>
      <c r="K45" s="158"/>
      <c r="L45" s="208">
        <v>167642</v>
      </c>
      <c r="M45" s="204">
        <v>164480</v>
      </c>
      <c r="N45" s="272">
        <v>176880</v>
      </c>
      <c r="O45" s="272">
        <v>178609</v>
      </c>
      <c r="P45" s="158"/>
      <c r="Q45" s="300">
        <v>176148</v>
      </c>
      <c r="R45" s="300">
        <v>169361</v>
      </c>
      <c r="S45" s="167">
        <v>166506</v>
      </c>
      <c r="T45" s="167">
        <v>163395</v>
      </c>
      <c r="U45" s="155"/>
      <c r="V45" s="167">
        <v>155933</v>
      </c>
      <c r="W45" s="169">
        <v>149459</v>
      </c>
      <c r="X45" s="169">
        <v>139594</v>
      </c>
      <c r="Y45" s="169">
        <v>120028</v>
      </c>
      <c r="AA45" s="167">
        <v>121490</v>
      </c>
      <c r="AB45" s="169"/>
      <c r="AC45" s="169"/>
      <c r="AD45" s="169"/>
    </row>
    <row r="46" spans="1:30" x14ac:dyDescent="0.25">
      <c r="A46" s="164"/>
      <c r="B46" s="209">
        <v>3476289</v>
      </c>
      <c r="C46" s="209">
        <v>3465523</v>
      </c>
      <c r="D46" s="209">
        <v>3570081</v>
      </c>
      <c r="E46" s="209">
        <v>3257507</v>
      </c>
      <c r="F46" s="158"/>
      <c r="G46" s="241">
        <v>3278659</v>
      </c>
      <c r="H46" s="209">
        <v>3326719</v>
      </c>
      <c r="I46" s="209">
        <v>3370031</v>
      </c>
      <c r="J46" s="209">
        <v>3374421</v>
      </c>
      <c r="K46" s="158"/>
      <c r="L46" s="190">
        <v>3764992</v>
      </c>
      <c r="M46" s="209">
        <v>3868233</v>
      </c>
      <c r="N46" s="209">
        <v>4287529</v>
      </c>
      <c r="O46" s="209">
        <v>3925565</v>
      </c>
      <c r="P46" s="185"/>
      <c r="Q46" s="184">
        <v>3945068</v>
      </c>
      <c r="R46" s="301">
        <v>3136272</v>
      </c>
      <c r="S46" s="202">
        <v>3046093</v>
      </c>
      <c r="T46" s="184">
        <v>3059256</v>
      </c>
      <c r="U46" s="155"/>
      <c r="V46" s="202">
        <v>2895573</v>
      </c>
      <c r="W46" s="202">
        <v>3564117</v>
      </c>
      <c r="X46" s="202">
        <v>3556874</v>
      </c>
      <c r="Y46" s="202">
        <v>3785890</v>
      </c>
      <c r="AA46" s="202">
        <v>4428158</v>
      </c>
      <c r="AB46" s="202">
        <v>0</v>
      </c>
      <c r="AC46" s="202">
        <v>0</v>
      </c>
      <c r="AD46" s="202">
        <v>0</v>
      </c>
    </row>
    <row r="47" spans="1:30" x14ac:dyDescent="0.25">
      <c r="A47" s="164"/>
      <c r="B47" s="204"/>
      <c r="C47" s="204"/>
      <c r="D47" s="204"/>
      <c r="E47" s="204"/>
      <c r="F47" s="158"/>
      <c r="G47" s="164"/>
      <c r="H47" s="204"/>
      <c r="I47" s="204"/>
      <c r="J47" s="204"/>
      <c r="K47" s="158"/>
      <c r="L47" s="276"/>
      <c r="M47" s="204"/>
      <c r="N47" s="204"/>
      <c r="O47" s="204"/>
      <c r="P47" s="165"/>
      <c r="Q47" s="159"/>
      <c r="R47" s="160"/>
      <c r="S47" s="161"/>
      <c r="T47" s="162" t="s">
        <v>29</v>
      </c>
      <c r="U47" s="155"/>
      <c r="V47" s="160"/>
      <c r="W47" s="162"/>
      <c r="X47" s="162"/>
      <c r="Y47" s="162"/>
      <c r="AA47" s="160"/>
      <c r="AB47" s="162"/>
      <c r="AC47" s="162"/>
      <c r="AD47" s="162"/>
    </row>
    <row r="48" spans="1:30" x14ac:dyDescent="0.25">
      <c r="A48" s="149" t="s">
        <v>51</v>
      </c>
      <c r="B48" s="204"/>
      <c r="C48" s="204"/>
      <c r="D48" s="204"/>
      <c r="E48" s="204"/>
      <c r="F48" s="158"/>
      <c r="G48" s="164"/>
      <c r="H48" s="204"/>
      <c r="I48" s="204"/>
      <c r="J48" s="204"/>
      <c r="K48" s="158"/>
      <c r="L48" s="276"/>
      <c r="M48" s="205"/>
      <c r="N48" s="205"/>
      <c r="O48" s="205"/>
      <c r="P48" s="150"/>
      <c r="Q48" s="159"/>
      <c r="R48" s="160"/>
      <c r="S48" s="161"/>
      <c r="T48" s="162" t="s">
        <v>29</v>
      </c>
      <c r="U48" s="155"/>
      <c r="V48" s="160"/>
      <c r="W48" s="162"/>
      <c r="X48" s="162"/>
      <c r="Y48" s="162"/>
      <c r="AA48" s="160"/>
      <c r="AB48" s="162"/>
      <c r="AC48" s="162"/>
      <c r="AD48" s="162"/>
    </row>
    <row r="49" spans="1:30" x14ac:dyDescent="0.25">
      <c r="A49" s="157" t="s">
        <v>80</v>
      </c>
      <c r="B49" s="204">
        <v>238626</v>
      </c>
      <c r="C49" s="204">
        <v>288962</v>
      </c>
      <c r="D49" s="204">
        <v>300556</v>
      </c>
      <c r="E49" s="204">
        <v>177675</v>
      </c>
      <c r="F49" s="158"/>
      <c r="G49" s="164">
        <v>150901</v>
      </c>
      <c r="H49" s="204">
        <v>135843</v>
      </c>
      <c r="I49" s="204">
        <v>134763</v>
      </c>
      <c r="J49" s="204">
        <v>133754</v>
      </c>
      <c r="K49" s="158"/>
      <c r="L49" s="276">
        <v>136651</v>
      </c>
      <c r="M49" s="204">
        <v>132747</v>
      </c>
      <c r="N49" s="204">
        <v>132365</v>
      </c>
      <c r="O49" s="204">
        <v>148433</v>
      </c>
      <c r="P49" s="158"/>
      <c r="Q49" s="159">
        <v>159399</v>
      </c>
      <c r="R49" s="160">
        <v>147140</v>
      </c>
      <c r="S49" s="161">
        <v>130162</v>
      </c>
      <c r="T49" s="162">
        <v>104003</v>
      </c>
      <c r="U49" s="155"/>
      <c r="V49" s="160">
        <v>118641</v>
      </c>
      <c r="W49" s="162">
        <v>151279</v>
      </c>
      <c r="X49" s="162">
        <v>157106</v>
      </c>
      <c r="Y49" s="162">
        <v>145013</v>
      </c>
      <c r="AA49" s="160">
        <v>155937</v>
      </c>
      <c r="AB49" s="162"/>
      <c r="AC49" s="162"/>
      <c r="AD49" s="162"/>
    </row>
    <row r="50" spans="1:30" x14ac:dyDescent="0.25">
      <c r="A50" s="157" t="s">
        <v>78</v>
      </c>
      <c r="B50" s="204">
        <v>772303</v>
      </c>
      <c r="C50" s="204">
        <v>991464</v>
      </c>
      <c r="D50" s="204">
        <v>994753</v>
      </c>
      <c r="E50" s="204">
        <v>1083885</v>
      </c>
      <c r="F50" s="158"/>
      <c r="G50" s="164">
        <v>962705</v>
      </c>
      <c r="H50" s="204">
        <v>1035405</v>
      </c>
      <c r="I50" s="204">
        <v>940504</v>
      </c>
      <c r="J50" s="204">
        <v>1007008</v>
      </c>
      <c r="K50" s="158"/>
      <c r="L50" s="276">
        <v>1041436</v>
      </c>
      <c r="M50" s="204">
        <v>1044544</v>
      </c>
      <c r="N50" s="204">
        <v>1002993</v>
      </c>
      <c r="O50" s="204">
        <v>1043462</v>
      </c>
      <c r="P50" s="158"/>
      <c r="Q50" s="159">
        <v>987275</v>
      </c>
      <c r="R50" s="160">
        <v>949357</v>
      </c>
      <c r="S50" s="161">
        <v>934111</v>
      </c>
      <c r="T50" s="162">
        <v>937938</v>
      </c>
      <c r="U50" s="155"/>
      <c r="V50" s="160">
        <v>988585</v>
      </c>
      <c r="W50" s="162">
        <v>867135</v>
      </c>
      <c r="X50" s="162">
        <v>852515</v>
      </c>
      <c r="Y50" s="162">
        <v>942266</v>
      </c>
      <c r="AA50" s="160">
        <v>800759</v>
      </c>
      <c r="AB50" s="162"/>
      <c r="AC50" s="162"/>
      <c r="AD50" s="162"/>
    </row>
    <row r="51" spans="1:30" x14ac:dyDescent="0.25">
      <c r="A51" s="157" t="s">
        <v>50</v>
      </c>
      <c r="B51" s="204">
        <v>31641</v>
      </c>
      <c r="C51" s="204">
        <v>50351</v>
      </c>
      <c r="D51" s="204">
        <v>65937</v>
      </c>
      <c r="E51" s="204">
        <v>66240</v>
      </c>
      <c r="F51" s="158"/>
      <c r="G51" s="164">
        <v>59134</v>
      </c>
      <c r="H51" s="204">
        <v>116720</v>
      </c>
      <c r="I51" s="204">
        <v>122635</v>
      </c>
      <c r="J51" s="204">
        <v>70170</v>
      </c>
      <c r="K51" s="158"/>
      <c r="L51" s="276">
        <v>67202</v>
      </c>
      <c r="M51" s="204">
        <v>57848</v>
      </c>
      <c r="N51" s="204">
        <v>63519</v>
      </c>
      <c r="O51" s="204">
        <v>53351</v>
      </c>
      <c r="P51" s="158"/>
      <c r="Q51" s="159">
        <v>60597</v>
      </c>
      <c r="R51" s="160">
        <v>21267</v>
      </c>
      <c r="S51" s="161">
        <v>21203</v>
      </c>
      <c r="T51" s="162">
        <v>105041</v>
      </c>
      <c r="U51" s="155"/>
      <c r="V51" s="160">
        <v>67783</v>
      </c>
      <c r="W51" s="162">
        <v>69718</v>
      </c>
      <c r="X51" s="162">
        <v>60265</v>
      </c>
      <c r="Y51" s="162">
        <v>66503</v>
      </c>
      <c r="AA51" s="160">
        <v>58989</v>
      </c>
      <c r="AB51" s="162"/>
      <c r="AC51" s="162"/>
      <c r="AD51" s="162"/>
    </row>
    <row r="52" spans="1:30" x14ac:dyDescent="0.25">
      <c r="A52" s="157" t="s">
        <v>76</v>
      </c>
      <c r="B52" s="204">
        <v>1796074</v>
      </c>
      <c r="C52" s="204">
        <v>1414566</v>
      </c>
      <c r="D52" s="204">
        <v>1124250</v>
      </c>
      <c r="E52" s="204">
        <v>1048978</v>
      </c>
      <c r="F52" s="158"/>
      <c r="G52" s="164">
        <v>966048</v>
      </c>
      <c r="H52" s="204">
        <v>1585988</v>
      </c>
      <c r="I52" s="204">
        <v>1877059</v>
      </c>
      <c r="J52" s="204">
        <v>1493103</v>
      </c>
      <c r="K52" s="158"/>
      <c r="L52" s="276">
        <v>1482844</v>
      </c>
      <c r="M52" s="204">
        <v>1121532</v>
      </c>
      <c r="N52" s="204">
        <v>655319</v>
      </c>
      <c r="O52" s="204">
        <v>999706</v>
      </c>
      <c r="P52" s="158"/>
      <c r="Q52" s="159">
        <v>961394</v>
      </c>
      <c r="R52" s="160">
        <v>1920889</v>
      </c>
      <c r="S52" s="161">
        <v>1984911</v>
      </c>
      <c r="T52" s="162">
        <v>1954611</v>
      </c>
      <c r="U52" s="155"/>
      <c r="V52" s="160">
        <v>2165168</v>
      </c>
      <c r="W52" s="162">
        <v>1769958</v>
      </c>
      <c r="X52" s="162">
        <v>1322355</v>
      </c>
      <c r="Y52" s="162">
        <v>1015672</v>
      </c>
      <c r="AA52" s="160">
        <v>580685</v>
      </c>
      <c r="AB52" s="162"/>
      <c r="AC52" s="162"/>
      <c r="AD52" s="162"/>
    </row>
    <row r="53" spans="1:30" x14ac:dyDescent="0.25">
      <c r="A53" s="157" t="s">
        <v>77</v>
      </c>
      <c r="B53" s="204">
        <v>9596</v>
      </c>
      <c r="C53" s="204">
        <v>9812</v>
      </c>
      <c r="D53" s="204">
        <v>9954</v>
      </c>
      <c r="E53" s="204">
        <v>10380</v>
      </c>
      <c r="F53" s="158"/>
      <c r="G53" s="164">
        <v>10426</v>
      </c>
      <c r="H53" s="204">
        <v>11140</v>
      </c>
      <c r="I53" s="204">
        <v>12432</v>
      </c>
      <c r="J53" s="204">
        <v>11868</v>
      </c>
      <c r="K53" s="158"/>
      <c r="L53" s="276">
        <v>11553</v>
      </c>
      <c r="M53" s="204">
        <v>10784</v>
      </c>
      <c r="N53" s="204">
        <v>9276</v>
      </c>
      <c r="O53" s="204">
        <v>8716</v>
      </c>
      <c r="P53" s="158"/>
      <c r="Q53" s="159">
        <v>6419</v>
      </c>
      <c r="R53" s="160">
        <v>3855</v>
      </c>
      <c r="S53" s="161">
        <v>2278</v>
      </c>
      <c r="T53" s="162">
        <v>3617</v>
      </c>
      <c r="U53" s="155"/>
      <c r="V53" s="160">
        <v>3644</v>
      </c>
      <c r="W53" s="162">
        <v>3729</v>
      </c>
      <c r="X53" s="162">
        <v>3873</v>
      </c>
      <c r="Y53" s="162">
        <v>3970</v>
      </c>
      <c r="AA53" s="160">
        <v>4205</v>
      </c>
      <c r="AB53" s="162"/>
      <c r="AC53" s="162"/>
      <c r="AD53" s="162"/>
    </row>
    <row r="54" spans="1:30" x14ac:dyDescent="0.25">
      <c r="A54" s="157" t="s">
        <v>232</v>
      </c>
      <c r="B54" s="204">
        <v>942</v>
      </c>
      <c r="C54" s="204">
        <v>0</v>
      </c>
      <c r="D54" s="204">
        <v>0</v>
      </c>
      <c r="E54" s="204">
        <v>0</v>
      </c>
      <c r="F54" s="158"/>
      <c r="G54" s="164">
        <v>0</v>
      </c>
      <c r="H54" s="204">
        <v>0</v>
      </c>
      <c r="I54" s="204">
        <v>0</v>
      </c>
      <c r="J54" s="204">
        <v>0</v>
      </c>
      <c r="K54" s="158"/>
      <c r="L54" s="276">
        <v>0</v>
      </c>
      <c r="M54" s="204">
        <v>0</v>
      </c>
      <c r="N54" s="204">
        <v>0</v>
      </c>
      <c r="O54" s="204">
        <v>0</v>
      </c>
      <c r="P54" s="158"/>
      <c r="Q54" s="159">
        <v>0</v>
      </c>
      <c r="R54" s="160">
        <v>0</v>
      </c>
      <c r="S54" s="161">
        <v>0</v>
      </c>
      <c r="T54" s="162">
        <v>0</v>
      </c>
      <c r="U54" s="155"/>
      <c r="V54" s="160">
        <v>0</v>
      </c>
      <c r="W54" s="162">
        <v>0</v>
      </c>
      <c r="X54" s="162">
        <v>0</v>
      </c>
      <c r="Y54" s="162">
        <v>0</v>
      </c>
      <c r="AA54" s="160">
        <v>0</v>
      </c>
      <c r="AB54" s="162"/>
      <c r="AC54" s="162"/>
      <c r="AD54" s="162"/>
    </row>
    <row r="55" spans="1:30" x14ac:dyDescent="0.25">
      <c r="A55" s="164" t="s">
        <v>52</v>
      </c>
      <c r="B55" s="204">
        <v>43766</v>
      </c>
      <c r="C55" s="204">
        <v>73958</v>
      </c>
      <c r="D55" s="204">
        <v>71283</v>
      </c>
      <c r="E55" s="204">
        <v>71760</v>
      </c>
      <c r="F55" s="158"/>
      <c r="G55" s="164">
        <v>111700</v>
      </c>
      <c r="H55" s="204">
        <v>6830</v>
      </c>
      <c r="I55" s="204">
        <v>8390</v>
      </c>
      <c r="J55" s="204">
        <v>19008</v>
      </c>
      <c r="K55" s="158"/>
      <c r="L55" s="276">
        <v>15611</v>
      </c>
      <c r="M55" s="204">
        <v>8017</v>
      </c>
      <c r="N55" s="272">
        <v>5190</v>
      </c>
      <c r="O55" s="272">
        <v>3981</v>
      </c>
      <c r="P55" s="165"/>
      <c r="Q55" s="159">
        <v>6676</v>
      </c>
      <c r="R55" s="160">
        <v>11464</v>
      </c>
      <c r="S55" s="161">
        <v>14639</v>
      </c>
      <c r="T55" s="162">
        <v>15769</v>
      </c>
      <c r="U55" s="155"/>
      <c r="V55" s="160">
        <v>8306</v>
      </c>
      <c r="W55" s="162">
        <v>23822</v>
      </c>
      <c r="X55" s="162">
        <v>16711</v>
      </c>
      <c r="Y55" s="162">
        <v>61589</v>
      </c>
      <c r="AA55" s="160">
        <v>39934</v>
      </c>
      <c r="AB55" s="162"/>
      <c r="AC55" s="162"/>
      <c r="AD55" s="162"/>
    </row>
    <row r="56" spans="1:30" x14ac:dyDescent="0.25">
      <c r="A56" s="149" t="s">
        <v>53</v>
      </c>
      <c r="B56" s="194">
        <v>2892948</v>
      </c>
      <c r="C56" s="194">
        <v>2829113</v>
      </c>
      <c r="D56" s="194">
        <v>2566733</v>
      </c>
      <c r="E56" s="194">
        <v>2458918</v>
      </c>
      <c r="F56" s="158"/>
      <c r="G56" s="192">
        <v>2260914</v>
      </c>
      <c r="H56" s="194">
        <v>2891926</v>
      </c>
      <c r="I56" s="194">
        <v>3095783</v>
      </c>
      <c r="J56" s="194">
        <v>2734911</v>
      </c>
      <c r="K56" s="158"/>
      <c r="L56" s="192">
        <v>2755297</v>
      </c>
      <c r="M56" s="194">
        <v>2375472</v>
      </c>
      <c r="N56" s="194">
        <v>1868662</v>
      </c>
      <c r="O56" s="194">
        <v>2257649</v>
      </c>
      <c r="P56" s="150"/>
      <c r="Q56" s="187">
        <v>2181760</v>
      </c>
      <c r="R56" s="186">
        <v>3053972</v>
      </c>
      <c r="S56" s="186">
        <v>3087304</v>
      </c>
      <c r="T56" s="186">
        <v>3120979</v>
      </c>
      <c r="U56" s="155"/>
      <c r="V56" s="187">
        <v>3352127</v>
      </c>
      <c r="W56" s="186">
        <v>2885641</v>
      </c>
      <c r="X56" s="186">
        <v>2412825</v>
      </c>
      <c r="Y56" s="186">
        <v>2235013</v>
      </c>
      <c r="AA56" s="187">
        <v>1640509</v>
      </c>
      <c r="AB56" s="186">
        <v>0</v>
      </c>
      <c r="AC56" s="186">
        <v>0</v>
      </c>
      <c r="AD56" s="186">
        <v>0</v>
      </c>
    </row>
    <row r="57" spans="1:30" ht="14.4" x14ac:dyDescent="0.3">
      <c r="A57" t="s">
        <v>267</v>
      </c>
      <c r="B57" s="204"/>
      <c r="C57" s="204"/>
      <c r="D57" s="204"/>
      <c r="E57" s="204"/>
      <c r="F57" s="158"/>
      <c r="G57" s="164"/>
      <c r="H57" s="204"/>
      <c r="I57" s="204"/>
      <c r="J57" s="204"/>
      <c r="K57" s="158"/>
      <c r="L57" s="276"/>
      <c r="M57" s="204"/>
      <c r="N57" s="204"/>
      <c r="O57" s="204"/>
      <c r="P57" s="165"/>
      <c r="Q57" s="159"/>
      <c r="R57" s="160"/>
      <c r="S57" s="161">
        <v>36830</v>
      </c>
      <c r="T57" s="162" t="s">
        <v>29</v>
      </c>
      <c r="U57" s="155"/>
      <c r="V57" s="160"/>
      <c r="W57" s="162"/>
      <c r="X57" s="162"/>
      <c r="Y57" s="162"/>
      <c r="AA57" s="160"/>
      <c r="AB57" s="162"/>
      <c r="AC57" s="162"/>
      <c r="AD57" s="162"/>
    </row>
    <row r="58" spans="1:30" ht="13.8" thickBot="1" x14ac:dyDescent="0.3">
      <c r="A58" s="165"/>
      <c r="B58" s="260">
        <v>6369237</v>
      </c>
      <c r="C58" s="260">
        <v>6294636</v>
      </c>
      <c r="D58" s="260">
        <v>6136814</v>
      </c>
      <c r="E58" s="260">
        <v>5716425</v>
      </c>
      <c r="F58" s="258"/>
      <c r="G58" s="259">
        <v>5539573</v>
      </c>
      <c r="H58" s="260">
        <v>6218645</v>
      </c>
      <c r="I58" s="260">
        <v>6465814</v>
      </c>
      <c r="J58" s="260">
        <v>6109332</v>
      </c>
      <c r="K58" s="258"/>
      <c r="L58" s="259">
        <v>6520289</v>
      </c>
      <c r="M58" s="260">
        <v>6243705</v>
      </c>
      <c r="N58" s="260">
        <v>6156191</v>
      </c>
      <c r="O58" s="262">
        <v>6183214</v>
      </c>
      <c r="P58" s="261"/>
      <c r="Q58" s="190">
        <v>6126828</v>
      </c>
      <c r="R58" s="188">
        <v>6190244</v>
      </c>
      <c r="S58" s="188">
        <v>6170227</v>
      </c>
      <c r="T58" s="189">
        <v>6180235</v>
      </c>
      <c r="U58" s="155"/>
      <c r="V58" s="183">
        <v>6247700</v>
      </c>
      <c r="W58" s="189">
        <v>6449758</v>
      </c>
      <c r="X58" s="189">
        <v>5969699</v>
      </c>
      <c r="Y58" s="189">
        <v>6020903</v>
      </c>
      <c r="AA58" s="183">
        <v>6068667</v>
      </c>
      <c r="AB58" s="189">
        <v>0</v>
      </c>
      <c r="AC58" s="189">
        <v>0</v>
      </c>
      <c r="AD58" s="189">
        <v>0</v>
      </c>
    </row>
    <row r="59" spans="1:30" ht="15" thickTop="1" x14ac:dyDescent="0.3">
      <c r="A59"/>
      <c r="B59" s="204"/>
      <c r="C59" s="204"/>
      <c r="D59" s="204"/>
      <c r="E59" s="204"/>
      <c r="F59" s="158"/>
      <c r="G59" s="164"/>
      <c r="H59" s="204"/>
      <c r="I59" s="204"/>
      <c r="J59" s="204"/>
      <c r="K59" s="158"/>
      <c r="L59" s="276"/>
      <c r="M59" s="204"/>
      <c r="N59" s="204"/>
      <c r="O59" s="204"/>
      <c r="P59" s="165"/>
      <c r="Q59" s="159"/>
      <c r="R59" s="160"/>
      <c r="S59" s="161"/>
      <c r="T59" s="162" t="s">
        <v>29</v>
      </c>
      <c r="U59" s="155"/>
      <c r="V59" s="160"/>
      <c r="W59" s="162"/>
      <c r="X59" s="162"/>
      <c r="Y59" s="162"/>
      <c r="AA59" s="160"/>
      <c r="AB59" s="162"/>
      <c r="AC59" s="162"/>
      <c r="AD59" s="162"/>
    </row>
    <row r="60" spans="1:30" x14ac:dyDescent="0.25">
      <c r="A60" s="149" t="s">
        <v>54</v>
      </c>
      <c r="B60" s="205"/>
      <c r="C60" s="205"/>
      <c r="D60" s="205"/>
      <c r="E60" s="205"/>
      <c r="F60" s="158"/>
      <c r="G60" s="149"/>
      <c r="H60" s="205"/>
      <c r="I60" s="205"/>
      <c r="J60" s="205"/>
      <c r="K60" s="158"/>
      <c r="L60" s="277"/>
      <c r="M60" s="205"/>
      <c r="N60" s="205"/>
      <c r="O60" s="205"/>
      <c r="P60" s="150"/>
      <c r="Q60" s="159"/>
      <c r="R60" s="160"/>
      <c r="S60" s="161"/>
      <c r="T60" s="162" t="s">
        <v>29</v>
      </c>
      <c r="U60" s="155"/>
      <c r="V60" s="160"/>
      <c r="W60" s="162"/>
      <c r="X60" s="162"/>
      <c r="Y60" s="162"/>
      <c r="AA60" s="160"/>
      <c r="AB60" s="162"/>
      <c r="AC60" s="162"/>
      <c r="AD60" s="162"/>
    </row>
    <row r="61" spans="1:30" x14ac:dyDescent="0.25">
      <c r="A61" s="157" t="s">
        <v>55</v>
      </c>
      <c r="B61" s="204">
        <v>5110276</v>
      </c>
      <c r="C61" s="204">
        <v>5110276</v>
      </c>
      <c r="D61" s="204">
        <v>5110276</v>
      </c>
      <c r="E61" s="204">
        <v>5110276</v>
      </c>
      <c r="F61" s="158"/>
      <c r="G61" s="204">
        <v>5110276</v>
      </c>
      <c r="H61" s="204">
        <v>4960276</v>
      </c>
      <c r="I61" s="204">
        <v>4960276</v>
      </c>
      <c r="J61" s="204">
        <v>4960276</v>
      </c>
      <c r="K61" s="158"/>
      <c r="L61" s="276">
        <v>4960276</v>
      </c>
      <c r="M61" s="204">
        <v>4960276</v>
      </c>
      <c r="N61" s="204">
        <v>4960276</v>
      </c>
      <c r="O61" s="204">
        <v>4960276</v>
      </c>
      <c r="P61" s="158"/>
      <c r="Q61" s="159">
        <v>4960276</v>
      </c>
      <c r="R61" s="160">
        <v>4960276</v>
      </c>
      <c r="S61" s="161">
        <v>4960276</v>
      </c>
      <c r="T61" s="162">
        <v>4960276</v>
      </c>
      <c r="U61" s="155"/>
      <c r="V61" s="160">
        <v>4960276</v>
      </c>
      <c r="W61" s="162">
        <v>4960276</v>
      </c>
      <c r="X61" s="162">
        <v>4960276</v>
      </c>
      <c r="Y61" s="162">
        <v>4960276</v>
      </c>
      <c r="AA61" s="160">
        <v>4960276</v>
      </c>
      <c r="AB61" s="162"/>
      <c r="AC61" s="162"/>
      <c r="AD61" s="162"/>
    </row>
    <row r="62" spans="1:30" x14ac:dyDescent="0.25">
      <c r="A62" s="157" t="s">
        <v>233</v>
      </c>
      <c r="B62" s="204">
        <v>34330</v>
      </c>
      <c r="C62" s="204">
        <v>34330</v>
      </c>
      <c r="D62" s="204">
        <v>34330</v>
      </c>
      <c r="E62" s="204">
        <v>34330</v>
      </c>
      <c r="F62" s="158"/>
      <c r="G62" s="204">
        <v>34330</v>
      </c>
      <c r="H62" s="204">
        <v>34330</v>
      </c>
      <c r="I62" s="204">
        <v>34330</v>
      </c>
      <c r="J62" s="204">
        <v>34330</v>
      </c>
      <c r="K62" s="158"/>
      <c r="L62" s="276">
        <v>34330</v>
      </c>
      <c r="M62" s="204">
        <v>34330</v>
      </c>
      <c r="N62" s="204">
        <v>34330</v>
      </c>
      <c r="O62" s="204">
        <v>34330</v>
      </c>
      <c r="P62" s="158"/>
      <c r="Q62" s="159">
        <v>34330</v>
      </c>
      <c r="R62" s="160">
        <v>34330</v>
      </c>
      <c r="S62" s="161">
        <v>34330</v>
      </c>
      <c r="T62" s="162">
        <v>34330</v>
      </c>
      <c r="U62" s="155"/>
      <c r="V62" s="160">
        <v>34330</v>
      </c>
      <c r="W62" s="162">
        <v>34330</v>
      </c>
      <c r="X62" s="162">
        <v>34330</v>
      </c>
      <c r="Y62" s="162">
        <v>34330</v>
      </c>
      <c r="AA62" s="160">
        <v>34330</v>
      </c>
      <c r="AB62" s="162"/>
      <c r="AC62" s="162"/>
      <c r="AD62" s="162"/>
    </row>
    <row r="63" spans="1:30" x14ac:dyDescent="0.25">
      <c r="A63" s="157" t="s">
        <v>234</v>
      </c>
      <c r="B63" s="204">
        <v>66671</v>
      </c>
      <c r="C63" s="204">
        <v>57652</v>
      </c>
      <c r="D63" s="204">
        <v>56900</v>
      </c>
      <c r="E63" s="204">
        <v>13671</v>
      </c>
      <c r="F63" s="158"/>
      <c r="G63" s="204">
        <v>-61510</v>
      </c>
      <c r="H63" s="204">
        <v>39926</v>
      </c>
      <c r="I63" s="204">
        <v>46455</v>
      </c>
      <c r="J63" s="204">
        <v>78238</v>
      </c>
      <c r="K63" s="158"/>
      <c r="L63" s="276">
        <v>97122</v>
      </c>
      <c r="M63" s="204">
        <v>96358</v>
      </c>
      <c r="N63" s="204">
        <v>75944</v>
      </c>
      <c r="O63" s="204">
        <v>82798</v>
      </c>
      <c r="P63" s="158"/>
      <c r="Q63" s="159">
        <v>102851</v>
      </c>
      <c r="R63" s="160">
        <v>92146</v>
      </c>
      <c r="S63" s="161">
        <v>81931</v>
      </c>
      <c r="T63" s="162">
        <v>78340</v>
      </c>
      <c r="U63" s="155"/>
      <c r="V63" s="160">
        <v>61044</v>
      </c>
      <c r="W63" s="162">
        <v>91248</v>
      </c>
      <c r="X63" s="162">
        <v>71625</v>
      </c>
      <c r="Y63" s="162">
        <v>96675</v>
      </c>
      <c r="AA63" s="160">
        <v>88837</v>
      </c>
      <c r="AB63" s="162"/>
      <c r="AC63" s="162"/>
      <c r="AD63" s="162"/>
    </row>
    <row r="64" spans="1:30" x14ac:dyDescent="0.25">
      <c r="A64" s="157" t="s">
        <v>235</v>
      </c>
      <c r="B64" s="204">
        <v>1911709</v>
      </c>
      <c r="C64" s="204">
        <v>1952070</v>
      </c>
      <c r="D64" s="204">
        <v>1979168</v>
      </c>
      <c r="E64" s="204">
        <v>2127892</v>
      </c>
      <c r="F64" s="158"/>
      <c r="G64" s="204">
        <v>2105952</v>
      </c>
      <c r="H64" s="204">
        <v>2012595</v>
      </c>
      <c r="I64" s="204">
        <v>1983723</v>
      </c>
      <c r="J64" s="204">
        <v>1828763</v>
      </c>
      <c r="K64" s="158"/>
      <c r="L64" s="276">
        <v>1824444</v>
      </c>
      <c r="M64" s="204">
        <v>1817077</v>
      </c>
      <c r="N64" s="204">
        <v>1766696</v>
      </c>
      <c r="O64" s="204">
        <v>1614437</v>
      </c>
      <c r="P64" s="158"/>
      <c r="Q64" s="159">
        <v>1634736</v>
      </c>
      <c r="R64" s="160">
        <v>1655437</v>
      </c>
      <c r="S64" s="161">
        <v>1675790</v>
      </c>
      <c r="T64" s="162">
        <v>1696255</v>
      </c>
      <c r="U64" s="155"/>
      <c r="V64" s="160">
        <v>1686317</v>
      </c>
      <c r="W64" s="162">
        <v>1711015</v>
      </c>
      <c r="X64" s="162">
        <v>1719352</v>
      </c>
      <c r="Y64" s="162">
        <v>1746690</v>
      </c>
      <c r="AA64" s="160">
        <v>1754868</v>
      </c>
      <c r="AB64" s="162"/>
      <c r="AC64" s="162"/>
      <c r="AD64" s="162"/>
    </row>
    <row r="65" spans="1:30" x14ac:dyDescent="0.25">
      <c r="A65" s="149" t="s">
        <v>56</v>
      </c>
      <c r="B65" s="186">
        <v>7122986</v>
      </c>
      <c r="C65" s="186">
        <v>7154328</v>
      </c>
      <c r="D65" s="186">
        <v>7180674</v>
      </c>
      <c r="E65" s="186">
        <v>7286169</v>
      </c>
      <c r="F65" s="158"/>
      <c r="G65" s="187">
        <v>7189048</v>
      </c>
      <c r="H65" s="186">
        <v>7047127</v>
      </c>
      <c r="I65" s="186">
        <v>7024784</v>
      </c>
      <c r="J65" s="186">
        <v>6901607</v>
      </c>
      <c r="K65" s="158"/>
      <c r="L65" s="187">
        <v>6916172</v>
      </c>
      <c r="M65" s="186">
        <v>6908041</v>
      </c>
      <c r="N65" s="186">
        <v>6837246</v>
      </c>
      <c r="O65" s="186">
        <v>6691841</v>
      </c>
      <c r="P65" s="150"/>
      <c r="Q65" s="187">
        <v>6732193</v>
      </c>
      <c r="R65" s="186">
        <v>6742189</v>
      </c>
      <c r="S65" s="186">
        <v>6752327</v>
      </c>
      <c r="T65" s="186">
        <v>6769201</v>
      </c>
      <c r="U65" s="155"/>
      <c r="V65" s="187">
        <v>6741967</v>
      </c>
      <c r="W65" s="186">
        <v>6796869</v>
      </c>
      <c r="X65" s="186">
        <v>6785583</v>
      </c>
      <c r="Y65" s="186">
        <v>6837971</v>
      </c>
      <c r="AA65" s="187">
        <v>6838311</v>
      </c>
      <c r="AB65" s="186">
        <v>0</v>
      </c>
      <c r="AC65" s="186">
        <v>0</v>
      </c>
      <c r="AD65" s="186">
        <v>0</v>
      </c>
    </row>
    <row r="66" spans="1:30" x14ac:dyDescent="0.25">
      <c r="A66" s="181" t="s">
        <v>236</v>
      </c>
      <c r="B66" s="204">
        <v>363968</v>
      </c>
      <c r="C66" s="191">
        <v>480405</v>
      </c>
      <c r="D66" s="191">
        <v>480392</v>
      </c>
      <c r="E66" s="191">
        <v>468332</v>
      </c>
      <c r="F66" s="158"/>
      <c r="G66" s="160">
        <v>468361</v>
      </c>
      <c r="H66" s="191">
        <v>468043</v>
      </c>
      <c r="I66" s="191">
        <v>467784</v>
      </c>
      <c r="J66" s="191">
        <v>468974</v>
      </c>
      <c r="K66" s="158"/>
      <c r="L66" s="160">
        <v>469342</v>
      </c>
      <c r="M66" s="192">
        <v>102352</v>
      </c>
      <c r="N66" s="193">
        <v>104389</v>
      </c>
      <c r="O66" s="194">
        <v>102931</v>
      </c>
      <c r="P66" s="182"/>
      <c r="Q66" s="192">
        <v>103091</v>
      </c>
      <c r="R66" s="192">
        <v>103393</v>
      </c>
      <c r="S66" s="193">
        <v>104392</v>
      </c>
      <c r="T66" s="194">
        <v>104467</v>
      </c>
      <c r="U66" s="155"/>
      <c r="V66" s="192">
        <v>104925</v>
      </c>
      <c r="W66" s="194">
        <v>108090</v>
      </c>
      <c r="X66" s="194">
        <v>110696</v>
      </c>
      <c r="Y66" s="194">
        <v>114660</v>
      </c>
      <c r="AA66" s="192">
        <v>115766</v>
      </c>
      <c r="AB66" s="194"/>
      <c r="AC66" s="194"/>
      <c r="AD66" s="194"/>
    </row>
    <row r="67" spans="1:30" ht="13.8" thickBot="1" x14ac:dyDescent="0.3">
      <c r="A67" s="149" t="s">
        <v>57</v>
      </c>
      <c r="B67" s="195">
        <v>13856191</v>
      </c>
      <c r="C67" s="195">
        <v>13929369</v>
      </c>
      <c r="D67" s="195">
        <v>13797880</v>
      </c>
      <c r="E67" s="195">
        <v>13470926</v>
      </c>
      <c r="F67" s="158"/>
      <c r="G67" s="196">
        <v>13196982</v>
      </c>
      <c r="H67" s="195">
        <v>13733815</v>
      </c>
      <c r="I67" s="195">
        <v>13958382</v>
      </c>
      <c r="J67" s="195">
        <v>13479913</v>
      </c>
      <c r="K67" s="158"/>
      <c r="L67" s="196">
        <v>13905803</v>
      </c>
      <c r="M67" s="195">
        <v>13254098</v>
      </c>
      <c r="N67" s="195">
        <v>13097826</v>
      </c>
      <c r="O67" s="195">
        <v>12977986</v>
      </c>
      <c r="P67" s="150"/>
      <c r="Q67" s="196">
        <v>12962112</v>
      </c>
      <c r="R67" s="195">
        <v>13035826</v>
      </c>
      <c r="S67" s="195">
        <v>13026946</v>
      </c>
      <c r="T67" s="195">
        <v>13053903</v>
      </c>
      <c r="U67" s="155"/>
      <c r="V67" s="196">
        <v>13094592</v>
      </c>
      <c r="W67" s="195">
        <v>13354717</v>
      </c>
      <c r="X67" s="195">
        <v>12865978</v>
      </c>
      <c r="Y67" s="195">
        <v>12973534</v>
      </c>
      <c r="AA67" s="196">
        <v>13022744</v>
      </c>
      <c r="AB67" s="195">
        <v>0</v>
      </c>
      <c r="AC67" s="195">
        <v>0</v>
      </c>
      <c r="AD67" s="195">
        <v>0</v>
      </c>
    </row>
    <row r="68" spans="1:30" ht="13.8" thickTop="1" x14ac:dyDescent="0.25">
      <c r="A68" s="197" t="s">
        <v>58</v>
      </c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55"/>
      <c r="R68" s="198"/>
      <c r="S68" s="155"/>
      <c r="T68" s="155"/>
      <c r="U68" s="155"/>
      <c r="V68" s="155"/>
      <c r="W68" s="155"/>
      <c r="X68" s="155"/>
      <c r="Y68" s="155"/>
      <c r="AA68" s="155"/>
      <c r="AB68" s="155"/>
      <c r="AC68" s="155"/>
      <c r="AD68" s="155"/>
    </row>
  </sheetData>
  <mergeCells count="6">
    <mergeCell ref="AA1:AD1"/>
    <mergeCell ref="Q1:T1"/>
    <mergeCell ref="V1:Y1"/>
    <mergeCell ref="B1:E1"/>
    <mergeCell ref="G1:J1"/>
    <mergeCell ref="L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0471-3769-443F-B3CB-DF0F0E816EB3}">
  <dimension ref="A1:AD62"/>
  <sheetViews>
    <sheetView zoomScale="69" zoomScaleNormal="70" workbookViewId="0">
      <pane xSplit="1" topLeftCell="T1" activePane="topRight" state="frozen"/>
      <selection pane="topRight" activeCell="Z65" sqref="Z65"/>
    </sheetView>
  </sheetViews>
  <sheetFormatPr defaultColWidth="16.6640625" defaultRowHeight="16.05" customHeight="1" x14ac:dyDescent="0.3"/>
  <cols>
    <col min="1" max="1" width="97.6640625" bestFit="1" customWidth="1"/>
    <col min="2" max="2" width="16.6640625" customWidth="1"/>
    <col min="3" max="3" width="16" customWidth="1"/>
    <col min="4" max="4" width="17.88671875" customWidth="1"/>
    <col min="5" max="5" width="19.109375" customWidth="1"/>
    <col min="6" max="6" width="6.21875" customWidth="1"/>
    <col min="7" max="10" width="17.5546875" customWidth="1"/>
    <col min="11" max="11" width="6.33203125" customWidth="1"/>
    <col min="16" max="16" width="4" customWidth="1"/>
    <col min="21" max="21" width="4" customWidth="1"/>
  </cols>
  <sheetData>
    <row r="1" spans="1:30" ht="16.05" customHeight="1" x14ac:dyDescent="0.3">
      <c r="A1" s="63" t="s">
        <v>105</v>
      </c>
      <c r="B1" s="674" t="s">
        <v>59</v>
      </c>
      <c r="C1" s="674"/>
      <c r="D1" s="674"/>
      <c r="E1" s="675"/>
      <c r="F1" s="57"/>
      <c r="G1" s="674" t="s">
        <v>60</v>
      </c>
      <c r="H1" s="674"/>
      <c r="I1" s="674"/>
      <c r="J1" s="675"/>
      <c r="K1" s="57"/>
      <c r="L1" s="674" t="s">
        <v>17</v>
      </c>
      <c r="M1" s="674"/>
      <c r="N1" s="674"/>
      <c r="O1" s="675"/>
      <c r="P1" s="7"/>
      <c r="Q1" s="676" t="s">
        <v>18</v>
      </c>
      <c r="R1" s="676"/>
      <c r="S1" s="676"/>
      <c r="T1" s="677"/>
      <c r="U1" s="1"/>
      <c r="V1" s="678" t="s">
        <v>28</v>
      </c>
      <c r="W1" s="679"/>
      <c r="X1" s="679"/>
      <c r="Y1" s="680"/>
      <c r="AA1" s="671" t="s">
        <v>359</v>
      </c>
      <c r="AB1" s="672"/>
      <c r="AC1" s="672"/>
      <c r="AD1" s="673"/>
    </row>
    <row r="2" spans="1:30" ht="16.05" customHeight="1" x14ac:dyDescent="0.3">
      <c r="A2" s="64" t="s">
        <v>61</v>
      </c>
      <c r="B2" s="65">
        <v>43555</v>
      </c>
      <c r="C2" s="66">
        <v>43646</v>
      </c>
      <c r="D2" s="66" t="s">
        <v>119</v>
      </c>
      <c r="E2" s="66">
        <v>43830</v>
      </c>
      <c r="F2" s="57"/>
      <c r="G2" s="65">
        <v>43921</v>
      </c>
      <c r="H2" s="66">
        <v>44012</v>
      </c>
      <c r="I2" s="66" t="s">
        <v>118</v>
      </c>
      <c r="J2" s="66">
        <v>44196</v>
      </c>
      <c r="K2" s="57"/>
      <c r="L2" s="65" t="s">
        <v>62</v>
      </c>
      <c r="M2" s="66" t="s">
        <v>63</v>
      </c>
      <c r="N2" s="66" t="s">
        <v>64</v>
      </c>
      <c r="O2" s="66">
        <v>44561</v>
      </c>
      <c r="P2" s="7"/>
      <c r="Q2" s="66">
        <v>44651</v>
      </c>
      <c r="R2" s="66">
        <v>44742</v>
      </c>
      <c r="S2" s="66">
        <v>44834</v>
      </c>
      <c r="T2" s="68">
        <v>44925</v>
      </c>
      <c r="U2" s="1"/>
      <c r="V2" s="65">
        <v>45016</v>
      </c>
      <c r="W2" s="66">
        <v>45107</v>
      </c>
      <c r="X2" s="66">
        <v>45199</v>
      </c>
      <c r="Y2" s="67">
        <v>45291</v>
      </c>
      <c r="AA2" s="65">
        <v>45382</v>
      </c>
      <c r="AB2" s="66">
        <v>45473</v>
      </c>
      <c r="AC2" s="66">
        <v>45565</v>
      </c>
      <c r="AD2" s="67">
        <v>45657</v>
      </c>
    </row>
    <row r="3" spans="1:30" ht="16.05" customHeight="1" x14ac:dyDescent="0.3">
      <c r="A3" s="37" t="s">
        <v>65</v>
      </c>
      <c r="B3" s="41"/>
      <c r="C3" s="42"/>
      <c r="D3" s="42"/>
      <c r="E3" s="1"/>
      <c r="F3" s="57"/>
      <c r="G3" s="41"/>
      <c r="H3" s="42"/>
      <c r="I3" s="42"/>
      <c r="J3" s="1"/>
      <c r="K3" s="57"/>
      <c r="L3" s="41"/>
      <c r="M3" s="42"/>
      <c r="N3" s="42"/>
      <c r="O3" s="1"/>
      <c r="P3" s="7"/>
      <c r="Q3" s="1"/>
      <c r="R3" s="1"/>
      <c r="S3" s="13"/>
      <c r="T3" s="73"/>
      <c r="U3" s="1"/>
      <c r="V3" s="43"/>
      <c r="W3" s="1"/>
      <c r="X3" s="13"/>
      <c r="Y3" s="73"/>
      <c r="AA3" s="43"/>
      <c r="AB3" s="1"/>
      <c r="AC3" s="13"/>
      <c r="AD3" s="73"/>
    </row>
    <row r="4" spans="1:30" ht="16.05" customHeight="1" x14ac:dyDescent="0.3">
      <c r="A4" s="69" t="s">
        <v>97</v>
      </c>
      <c r="B4" s="45">
        <v>465550</v>
      </c>
      <c r="C4" s="45">
        <f>VLOOKUP(A4,[1]III!$C$19:$E$33,3,0)</f>
        <v>1568032</v>
      </c>
      <c r="D4" s="45">
        <f>VLOOKUP(A4,[2]III!$C$19:$E$33,3,0)</f>
        <v>1911860</v>
      </c>
      <c r="E4" s="47">
        <f>VLOOKUP(A4,[3]III!$C$19:$E$61,3,0)</f>
        <v>3057907</v>
      </c>
      <c r="F4" s="57"/>
      <c r="G4" s="44">
        <f>VLOOKUP(A4,[4]III!$C$19:$E$33,3,0)</f>
        <v>304968</v>
      </c>
      <c r="H4" s="45">
        <f>VLOOKUP(A4,[5]III!$C$19:$E$32,3,0)</f>
        <v>542836</v>
      </c>
      <c r="I4" s="45">
        <f>VLOOKUP(A4,[6]III!$C$19:$E$32,3,0)</f>
        <v>725386</v>
      </c>
      <c r="J4" s="45">
        <f>VLOOKUP(A4,[7]III!$C$19:$E$33,3,0)</f>
        <v>1279863</v>
      </c>
      <c r="K4" s="70"/>
      <c r="L4" s="44">
        <f>VLOOKUP(A4,[8]III!$C$19:$E$32,3,0)</f>
        <v>190062</v>
      </c>
      <c r="M4" s="45">
        <f>VLOOKUP(A4,[9]III!$C$19:$E$32,3,0)</f>
        <v>439468</v>
      </c>
      <c r="N4" s="45">
        <f>VLOOKUP(A4,[10]III!$C$19:$E$32,3,0)</f>
        <v>567891</v>
      </c>
      <c r="O4" s="47">
        <f>VLOOKUP(A4,[11]III!$C$19:$E$32,3,0)</f>
        <v>889257</v>
      </c>
      <c r="P4" s="7"/>
      <c r="Q4" s="47">
        <f>VLOOKUP(A4,[12]III!$C$19:$E$32,3,0)</f>
        <v>287866</v>
      </c>
      <c r="R4" s="47">
        <f>VLOOKUP(A4,[13]III!$C$19:$E$32,3,0)</f>
        <v>573069</v>
      </c>
      <c r="S4" s="48">
        <f>VLOOKUP(A4,[14]III!$C$19:$E$32,3,0)</f>
        <v>894205</v>
      </c>
      <c r="T4" s="302">
        <f>VLOOKUP(A4,[15]III!$C$19:$E$32,3,0)</f>
        <v>1387414</v>
      </c>
      <c r="U4" s="1"/>
      <c r="V4" s="46">
        <f>VLOOKUP(A4,[16]III!$C$19:$E$32,3,0)</f>
        <v>425369</v>
      </c>
      <c r="W4" s="45">
        <f>VLOOKUP(A4,[17]III!$C$19:$E$32,3,0)</f>
        <v>818365</v>
      </c>
      <c r="X4" s="48">
        <f>VLOOKUP(A4,[18]III!$C$19:$E$32,3,0)</f>
        <v>1083079</v>
      </c>
      <c r="Y4" s="305">
        <f>VLOOKUP(A4,[19]III!$C$19:$E$33,3,0)</f>
        <v>1475508</v>
      </c>
      <c r="AA4" s="46">
        <f>VLOOKUP(A4,[20]III!$C$19:$E$33,3,0)</f>
        <v>398660</v>
      </c>
      <c r="AB4" s="45"/>
      <c r="AC4" s="48"/>
      <c r="AD4" s="305"/>
    </row>
    <row r="5" spans="1:30" ht="16.05" customHeight="1" x14ac:dyDescent="0.3">
      <c r="A5" s="38" t="s">
        <v>98</v>
      </c>
      <c r="B5" s="45">
        <v>3103</v>
      </c>
      <c r="C5" s="45">
        <f>VLOOKUP(A5,[1]III!$C$19:$E$33,3,0)</f>
        <v>1178</v>
      </c>
      <c r="D5" s="45">
        <f>VLOOKUP(A5,[2]III!$C$19:$E$33,3,0)</f>
        <v>13354</v>
      </c>
      <c r="E5" s="47">
        <f>VLOOKUP(A5,[3]III!$C$19:$E$61,3,0)</f>
        <v>24374</v>
      </c>
      <c r="F5" s="57"/>
      <c r="G5" s="44">
        <f>VLOOKUP(A5,[4]III!$C$19:$E$33,3,0)</f>
        <v>37</v>
      </c>
      <c r="H5" s="45">
        <f>VLOOKUP(A5,[5]III!$C$19:$E$32,3,0)</f>
        <v>37</v>
      </c>
      <c r="I5" s="45">
        <f>VLOOKUP(A5,[6]III!$C$19:$E$32,3,0)</f>
        <v>2046</v>
      </c>
      <c r="J5" s="45">
        <f>VLOOKUP(A5,[7]III!$C$19:$E$33,3,0)</f>
        <v>2561</v>
      </c>
      <c r="K5" s="57"/>
      <c r="L5" s="44">
        <f>VLOOKUP(A5,[8]III!$C$19:$E$32,3,0)</f>
        <v>99</v>
      </c>
      <c r="M5" s="45">
        <f>VLOOKUP(A5,[9]III!$C$19:$E$32,3,0)</f>
        <v>99</v>
      </c>
      <c r="N5" s="45">
        <f>VLOOKUP(A5,[10]III!$C$19:$E$32,3,0)</f>
        <v>900</v>
      </c>
      <c r="O5" s="47">
        <f>VLOOKUP(A5,[11]III!$C$19:$E$32,3,0)</f>
        <v>2557</v>
      </c>
      <c r="P5" s="7"/>
      <c r="Q5" s="47">
        <f>VLOOKUP(A5,[12]III!$C$19:$E$32,3,0)</f>
        <v>852</v>
      </c>
      <c r="R5" s="47">
        <f>VLOOKUP(A5,[13]III!$C$19:$E$32,3,0)</f>
        <v>2225</v>
      </c>
      <c r="S5" s="48">
        <f>VLOOKUP(A5,[14]III!$C$19:$E$32,3,0)</f>
        <v>2783</v>
      </c>
      <c r="T5" s="302">
        <f>VLOOKUP(A5,[15]III!$C$19:$E$32,3,0)</f>
        <v>10765</v>
      </c>
      <c r="U5" s="1"/>
      <c r="V5" s="46">
        <f>VLOOKUP(A5,[16]III!$C$19:$E$32,3,0)</f>
        <v>4033</v>
      </c>
      <c r="W5" s="45">
        <f>VLOOKUP(A5,[17]III!$C$19:$E$32,3,0)</f>
        <v>4510</v>
      </c>
      <c r="X5" s="48">
        <f>VLOOKUP(A5,[18]III!$C$19:$E$32,3,0)</f>
        <v>48558</v>
      </c>
      <c r="Y5" s="305">
        <f>VLOOKUP(A5,[19]III!$C$19:$E$33,3,0)</f>
        <v>75246</v>
      </c>
      <c r="AA5" s="46">
        <f>VLOOKUP(A5,[20]III!$C$19:$E$33,3,0)</f>
        <v>56909</v>
      </c>
      <c r="AB5" s="45"/>
      <c r="AC5" s="48"/>
      <c r="AD5" s="305"/>
    </row>
    <row r="6" spans="1:30" ht="16.05" customHeight="1" x14ac:dyDescent="0.3">
      <c r="A6" s="38" t="s">
        <v>99</v>
      </c>
      <c r="B6" s="45">
        <v>-209234</v>
      </c>
      <c r="C6" s="45">
        <f>VLOOKUP(A6,[1]III!$C$19:$E$33,3,0)</f>
        <v>-400642</v>
      </c>
      <c r="D6" s="45">
        <f>VLOOKUP(A6,[2]III!$C$19:$E$33,3,0)</f>
        <v>-596687</v>
      </c>
      <c r="E6" s="47">
        <f>VLOOKUP(A6,[3]III!$C$19:$E$61,3,0)</f>
        <v>-732423</v>
      </c>
      <c r="F6" s="57"/>
      <c r="G6" s="44">
        <f>VLOOKUP(A6,[4]III!$C$19:$E$33,3,0)</f>
        <v>-193265</v>
      </c>
      <c r="H6" s="45">
        <f>VLOOKUP(A6,[5]III!$C$19:$E$32,3,0)</f>
        <v>-331946</v>
      </c>
      <c r="I6" s="45">
        <f>VLOOKUP(A6,[6]III!$C$19:$E$32,3,0)</f>
        <v>-442434</v>
      </c>
      <c r="J6" s="45">
        <f>VLOOKUP(A6,[7]III!$C$19:$E$33,3,0)</f>
        <v>-555073</v>
      </c>
      <c r="K6" s="57"/>
      <c r="L6" s="44">
        <f>VLOOKUP(A6,[8]III!$C$19:$E$32,3,0)</f>
        <v>-164460</v>
      </c>
      <c r="M6" s="45">
        <f>VLOOKUP(A6,[9]III!$C$19:$E$32,3,0)</f>
        <v>-294710</v>
      </c>
      <c r="N6" s="45">
        <f>VLOOKUP(A6,[10]III!$C$19:$E$32,3,0)</f>
        <v>-428498</v>
      </c>
      <c r="O6" s="47">
        <f>VLOOKUP(A6,[11]III!$C$19:$E$32,3,0)</f>
        <v>-544174</v>
      </c>
      <c r="P6" s="7"/>
      <c r="Q6" s="47">
        <f>VLOOKUP(A6,[12]III!$C$19:$E$32,3,0)</f>
        <v>-139773</v>
      </c>
      <c r="R6" s="47">
        <f>VLOOKUP(A6,[13]III!$C$19:$E$32,3,0)</f>
        <v>-313615</v>
      </c>
      <c r="S6" s="48">
        <f>VLOOKUP(A6,[14]III!$C$19:$E$32,3,0)</f>
        <v>-456106</v>
      </c>
      <c r="T6" s="302">
        <f>VLOOKUP(A6,[15]III!$C$19:$E$32,3,0)</f>
        <v>-637338</v>
      </c>
      <c r="U6" s="1"/>
      <c r="V6" s="46">
        <f>VLOOKUP(A6,[16]III!$C$19:$E$32,3,0)</f>
        <v>-165046</v>
      </c>
      <c r="W6" s="45">
        <f>VLOOKUP(A6,[17]III!$C$19:$E$32,3,0)</f>
        <v>-379840</v>
      </c>
      <c r="X6" s="48">
        <f>VLOOKUP(A6,[18]III!$C$19:$E$32,3,0)</f>
        <v>-610509</v>
      </c>
      <c r="Y6" s="305">
        <f>VLOOKUP(A6,[19]III!$C$19:$E$33,3,0)</f>
        <v>-891021</v>
      </c>
      <c r="AA6" s="46">
        <f>VLOOKUP(A6,[20]III!$C$19:$E$33,3,0)</f>
        <v>-264505</v>
      </c>
      <c r="AB6" s="45"/>
      <c r="AC6" s="48"/>
      <c r="AD6" s="305"/>
    </row>
    <row r="7" spans="1:30" ht="16.05" customHeight="1" x14ac:dyDescent="0.3">
      <c r="A7" s="38" t="s">
        <v>100</v>
      </c>
      <c r="B7" s="45">
        <v>-23428</v>
      </c>
      <c r="C7" s="45">
        <f>VLOOKUP(A7,[1]III!$C$19:$E$33,3,0)</f>
        <v>-56521</v>
      </c>
      <c r="D7" s="45">
        <f>VLOOKUP(A7,[2]III!$C$19:$E$33,3,0)</f>
        <v>-58337</v>
      </c>
      <c r="E7" s="47">
        <f>VLOOKUP(A7,[3]III!$C$19:$E$61,3,0)</f>
        <v>-115838</v>
      </c>
      <c r="F7" s="57"/>
      <c r="G7" s="44">
        <f>VLOOKUP(A7,[4]III!$C$19:$E$33,3,0)</f>
        <v>-29370</v>
      </c>
      <c r="H7" s="45">
        <f>VLOOKUP(A7,[5]III!$C$19:$E$32,3,0)</f>
        <v>-53874</v>
      </c>
      <c r="I7" s="45">
        <f>VLOOKUP(A7,[6]III!$C$19:$E$32,3,0)</f>
        <v>-177464</v>
      </c>
      <c r="J7" s="45">
        <f>VLOOKUP(A7,[7]III!$C$19:$E$33,3,0)</f>
        <v>-302905</v>
      </c>
      <c r="K7" s="57"/>
      <c r="L7" s="44">
        <f>VLOOKUP(A7,[8]III!$C$19:$E$32,3,0)</f>
        <v>-24451</v>
      </c>
      <c r="M7" s="45">
        <f>VLOOKUP(A7,[9]III!$C$19:$E$32,3,0)</f>
        <v>-39565</v>
      </c>
      <c r="N7" s="45">
        <f>VLOOKUP(A7,[10]III!$C$19:$E$32,3,0)</f>
        <v>-67604</v>
      </c>
      <c r="O7" s="47">
        <f>VLOOKUP(A7,[11]III!$C$19:$E$32,3,0)</f>
        <v>-115448</v>
      </c>
      <c r="P7" s="7"/>
      <c r="Q7" s="47">
        <f>VLOOKUP(A7,[12]III!$C$19:$E$32,3,0)</f>
        <v>-61371</v>
      </c>
      <c r="R7" s="47">
        <f>VLOOKUP(A7,[13]III!$C$19:$E$32,3,0)</f>
        <v>-93370</v>
      </c>
      <c r="S7" s="48">
        <f>VLOOKUP(A7,[14]III!$C$19:$E$32,3,0)</f>
        <v>-129702</v>
      </c>
      <c r="T7" s="302">
        <f>VLOOKUP(A7,[15]III!$C$19:$E$32,3,0)</f>
        <v>-135744</v>
      </c>
      <c r="U7" s="1"/>
      <c r="V7" s="46">
        <f>VLOOKUP(A7,[16]III!$C$19:$E$32,3,0)</f>
        <v>-2833</v>
      </c>
      <c r="W7" s="45">
        <f>VLOOKUP(A7,[17]III!$C$19:$E$32,3,0)</f>
        <v>-8608</v>
      </c>
      <c r="X7" s="48">
        <f>VLOOKUP(A7,[18]III!$C$19:$E$32,3,0)</f>
        <v>-8809</v>
      </c>
      <c r="Y7" s="305">
        <f>VLOOKUP(A7,[19]III!$C$19:$E$33,3,0)</f>
        <v>-10007</v>
      </c>
      <c r="AA7" s="46">
        <f>VLOOKUP(A7,[20]III!$C$19:$E$33,3,0)</f>
        <v>-151</v>
      </c>
      <c r="AB7" s="45"/>
      <c r="AC7" s="48"/>
      <c r="AD7" s="305"/>
    </row>
    <row r="8" spans="1:30" ht="16.05" customHeight="1" x14ac:dyDescent="0.3">
      <c r="A8" s="38" t="s">
        <v>101</v>
      </c>
      <c r="B8" s="45">
        <v>-4650</v>
      </c>
      <c r="C8" s="45">
        <f>VLOOKUP(A8,[1]III!$C$19:$E$33,3,0)</f>
        <v>-1627</v>
      </c>
      <c r="D8" s="45">
        <f>VLOOKUP(A8,[2]III!$C$19:$E$33,3,0)</f>
        <v>-6378</v>
      </c>
      <c r="E8" s="47">
        <f>VLOOKUP(A8,[3]III!$C$19:$E$61,3,0)</f>
        <v>-16493</v>
      </c>
      <c r="F8" s="57"/>
      <c r="G8" s="44">
        <f>VLOOKUP(A8,[4]III!$C$19:$E$33,3,0)</f>
        <v>-37</v>
      </c>
      <c r="H8" s="45">
        <f>VLOOKUP(A8,[5]III!$C$19:$E$32,3,0)</f>
        <v>-672</v>
      </c>
      <c r="I8" s="45">
        <f>VLOOKUP(A8,[6]III!$C$19:$E$32,3,0)</f>
        <v>-9438</v>
      </c>
      <c r="J8" s="45">
        <f>VLOOKUP(A8,[7]III!$C$19:$E$33,3,0)</f>
        <v>-13493</v>
      </c>
      <c r="K8" s="57"/>
      <c r="L8" s="44">
        <f>VLOOKUP(A8,[8]III!$C$19:$E$32,3,0)</f>
        <v>0</v>
      </c>
      <c r="M8" s="45">
        <f>VLOOKUP(A8,[9]III!$C$19:$E$32,3,0)</f>
        <v>-12239</v>
      </c>
      <c r="N8" s="45">
        <f>VLOOKUP(A8,[10]III!$C$19:$E$32,3,0)</f>
        <v>-27084</v>
      </c>
      <c r="O8" s="47">
        <f>VLOOKUP(A8,[11]III!$C$19:$E$32,3,0)</f>
        <v>-35185</v>
      </c>
      <c r="P8" s="7"/>
      <c r="Q8" s="47">
        <f>VLOOKUP(A8,[12]III!$C$19:$E$32,3,0)</f>
        <v>-481</v>
      </c>
      <c r="R8" s="47">
        <f>VLOOKUP(A8,[13]III!$C$19:$E$32,3,0)</f>
        <v>-72</v>
      </c>
      <c r="S8" s="48">
        <f>VLOOKUP(A8,[14]III!$C$19:$E$32,3,0)</f>
        <v>-397</v>
      </c>
      <c r="T8" s="302">
        <f>VLOOKUP(A8,[15]III!$C$19:$E$32,3,0)</f>
        <v>-545</v>
      </c>
      <c r="U8" s="1"/>
      <c r="V8" s="46">
        <f>VLOOKUP(A8,[16]III!$C$19:$E$32,3,0)</f>
        <v>-2316</v>
      </c>
      <c r="W8" s="45">
        <f>VLOOKUP(A8,[17]III!$C$19:$E$32,3,0)</f>
        <v>-3333</v>
      </c>
      <c r="X8" s="48">
        <f>VLOOKUP(A8,[18]III!$C$19:$E$32,3,0)</f>
        <v>-4925</v>
      </c>
      <c r="Y8" s="305">
        <f>VLOOKUP(A8,[19]III!$C$19:$E$33,3,0)</f>
        <v>-5407</v>
      </c>
      <c r="AA8" s="46">
        <f>VLOOKUP(A8,[20]III!$C$19:$E$33,3,0)</f>
        <v>-102</v>
      </c>
      <c r="AB8" s="45"/>
      <c r="AC8" s="48"/>
      <c r="AD8" s="305"/>
    </row>
    <row r="9" spans="1:30" ht="16.05" customHeight="1" x14ac:dyDescent="0.3">
      <c r="A9" s="39" t="s">
        <v>102</v>
      </c>
      <c r="B9" s="45">
        <v>-109218</v>
      </c>
      <c r="C9" s="45">
        <f>VLOOKUP(A9,[1]III!$C$19:$E$33,3,0)</f>
        <v>-280241</v>
      </c>
      <c r="D9" s="45">
        <f>VLOOKUP(A9,[2]III!$C$19:$E$33,3,0)</f>
        <v>-368610</v>
      </c>
      <c r="E9" s="47">
        <f>VLOOKUP(A9,[3]III!$C$19:$E$61,3,0)</f>
        <v>-476085</v>
      </c>
      <c r="F9" s="58"/>
      <c r="G9" s="44">
        <f>VLOOKUP(A9,[4]III!$C$19:$E$33,3,0)</f>
        <v>-142839</v>
      </c>
      <c r="H9" s="45">
        <f>VLOOKUP(A9,[5]III!$C$19:$E$32,3,0)</f>
        <v>-195974</v>
      </c>
      <c r="I9" s="45">
        <f>VLOOKUP(A9,[6]III!$C$19:$E$32,3,0)</f>
        <v>-259652</v>
      </c>
      <c r="J9" s="45">
        <f>VLOOKUP(A9,[7]III!$C$19:$E$33,3,0)</f>
        <v>-324665</v>
      </c>
      <c r="K9" s="58"/>
      <c r="L9" s="44">
        <f>VLOOKUP(A9,[8]III!$C$19:$E$32,3,0)</f>
        <v>-58497</v>
      </c>
      <c r="M9" s="45">
        <f>VLOOKUP(A9,[9]III!$C$19:$E$32,3,0)</f>
        <v>-110265</v>
      </c>
      <c r="N9" s="45">
        <f>VLOOKUP(A9,[10]III!$C$19:$E$32,3,0)</f>
        <v>-146632</v>
      </c>
      <c r="O9" s="45">
        <f>VLOOKUP(A9,[11]III!$C$19:$E$32,3,0)</f>
        <v>-217518</v>
      </c>
      <c r="P9" s="7"/>
      <c r="Q9" s="45">
        <f>VLOOKUP(A9,[12]III!$C$19:$E$32,3,0)</f>
        <v>-70296</v>
      </c>
      <c r="R9" s="45">
        <f>VLOOKUP(A9,[13]III!$C$19:$E$32,3,0)</f>
        <v>-120907</v>
      </c>
      <c r="S9" s="48">
        <f>VLOOKUP(A9,[14]III!$C$19:$E$32,3,0)</f>
        <v>-184764</v>
      </c>
      <c r="T9" s="302">
        <f>VLOOKUP(A9,[15]III!$C$19:$E$32,3,0)</f>
        <v>-243612</v>
      </c>
      <c r="U9" s="1"/>
      <c r="V9" s="46">
        <f>VLOOKUP(A9,[16]III!$C$19:$E$32,3,0)</f>
        <v>-42976</v>
      </c>
      <c r="W9" s="45">
        <f>VLOOKUP(A9,[17]III!$C$19:$E$32,3,0)</f>
        <v>-119232</v>
      </c>
      <c r="X9" s="48">
        <f>VLOOKUP(A9,[18]III!$C$19:$E$32,3,0)</f>
        <v>-176014</v>
      </c>
      <c r="Y9" s="305">
        <f>VLOOKUP(A9,[19]III!$C$19:$E$33,3,0)</f>
        <v>-239812</v>
      </c>
      <c r="AA9" s="46">
        <f>VLOOKUP(A9,[20]III!$C$19:$E$33,3,0)</f>
        <v>-67015</v>
      </c>
      <c r="AB9" s="45"/>
      <c r="AC9" s="48"/>
      <c r="AD9" s="305"/>
    </row>
    <row r="10" spans="1:30" ht="16.05" customHeight="1" x14ac:dyDescent="0.3">
      <c r="A10" s="57" t="s">
        <v>251</v>
      </c>
      <c r="B10" s="219">
        <v>122123</v>
      </c>
      <c r="C10" s="219">
        <f>VLOOKUP(A10,[1]III!$C$19:$E$33,3,0)</f>
        <v>830179</v>
      </c>
      <c r="D10" s="219">
        <f>VLOOKUP(A10,[2]III!$C$19:$E$33,3,0)</f>
        <v>895202</v>
      </c>
      <c r="E10" s="220">
        <f>VLOOKUP(A10,[3]III!$C$19:$E$61,3,0)</f>
        <v>1741442</v>
      </c>
      <c r="F10" s="218"/>
      <c r="G10" s="221">
        <f>VLOOKUP(A10,[4]III!$C$19:$E$33,3,0)</f>
        <v>-60506</v>
      </c>
      <c r="H10" s="219">
        <f>VLOOKUP(A10,[5]III!$C$19:$E$32,3,0)</f>
        <v>-39593</v>
      </c>
      <c r="I10" s="219">
        <f>VLOOKUP(A10,[6]III!$C$19:$E$32,3,0)</f>
        <v>-161556</v>
      </c>
      <c r="J10" s="220">
        <f>VLOOKUP(A10,[7]III!$C$19:$E$33,3,0)</f>
        <v>86288</v>
      </c>
      <c r="K10" s="218"/>
      <c r="L10" s="221">
        <f>VLOOKUP(A10,[8]III!$C$19:$E$32,3,0)</f>
        <v>-57247</v>
      </c>
      <c r="M10" s="219">
        <f>VLOOKUP(A10,[9]III!$C$19:$E$32,3,0)</f>
        <v>-17212</v>
      </c>
      <c r="N10" s="219">
        <f>VLOOKUP(A10,[10]III!$C$19:$E$32,3,0)</f>
        <v>-101027</v>
      </c>
      <c r="O10" s="219">
        <f>VLOOKUP(A10,[11]III!$C$19:$E$32,3,0)</f>
        <v>-20511</v>
      </c>
      <c r="P10" s="7"/>
      <c r="Q10" s="219">
        <f>VLOOKUP(A10,[12]III!$C$19:$E$32,3,0)</f>
        <v>16797</v>
      </c>
      <c r="R10" s="222">
        <f>VLOOKUP(A10,[13]III!$C$19:$E$32,3,0)</f>
        <v>47330</v>
      </c>
      <c r="S10" s="222">
        <f>VLOOKUP(A10,[14]III!$C$19:$E$32,3,0)</f>
        <v>126019</v>
      </c>
      <c r="T10" s="303">
        <f>VLOOKUP(A10,[15]III!$C$19:$E$32,3,0)</f>
        <v>380940</v>
      </c>
      <c r="U10" s="1"/>
      <c r="V10" s="221">
        <f>VLOOKUP(A10,[16]III!$C$19:$E$32,3,0)</f>
        <v>216231</v>
      </c>
      <c r="W10" s="222">
        <f>VLOOKUP(A10,[17]III!$C$19:$E$32,3,0)</f>
        <v>311862</v>
      </c>
      <c r="X10" s="222">
        <f>VLOOKUP(A10,[18]III!$C$19:$E$32,3,0)</f>
        <v>331380</v>
      </c>
      <c r="Y10" s="303">
        <f>VLOOKUP(A10,[19]III!$C$19:$E$33,3,0)</f>
        <v>404507</v>
      </c>
      <c r="AA10" s="466">
        <f>VLOOKUP(A10,[20]III!$C$19:$E$33,3,0)</f>
        <v>123796</v>
      </c>
      <c r="AB10" s="222"/>
      <c r="AC10" s="222"/>
      <c r="AD10" s="303"/>
    </row>
    <row r="11" spans="1:30" ht="16.05" customHeight="1" x14ac:dyDescent="0.3">
      <c r="A11" s="39" t="s">
        <v>103</v>
      </c>
      <c r="B11" s="45">
        <v>-20553</v>
      </c>
      <c r="C11" s="45">
        <f>VLOOKUP(A11,[1]III!$C$19:$E$33,3,0)</f>
        <v>-49623</v>
      </c>
      <c r="D11" s="45">
        <f>VLOOKUP(A11,[2]III!$C$19:$E$33,3,0)</f>
        <v>-39981</v>
      </c>
      <c r="E11" s="47">
        <f>VLOOKUP(A11,[3]III!$C$19:$E$61,3,0)</f>
        <v>-103068</v>
      </c>
      <c r="F11" s="58"/>
      <c r="G11" s="44">
        <f>VLOOKUP(A11,[4]III!$C$19:$E$33,3,0)</f>
        <v>-19745</v>
      </c>
      <c r="H11" s="45">
        <f>VLOOKUP(A11,[5]III!$C$19:$E$32,3,0)</f>
        <v>-142696</v>
      </c>
      <c r="I11" s="45">
        <f>VLOOKUP(A11,[6]III!$C$19:$E$32,3,0)</f>
        <v>-139177</v>
      </c>
      <c r="J11" s="45">
        <f>VLOOKUP(A11,[7]III!$C$19:$E$33,3,0)</f>
        <v>-187672</v>
      </c>
      <c r="K11" s="58"/>
      <c r="L11" s="44">
        <f>VLOOKUP(A11,[8]III!$C$19:$E$32,3,0)</f>
        <v>-6596</v>
      </c>
      <c r="M11" s="45">
        <f>VLOOKUP(A11,[9]III!$C$19:$E$32,3,0)</f>
        <v>-26245</v>
      </c>
      <c r="N11" s="45">
        <f>VLOOKUP(A11,[10]III!$C$19:$E$32,3,0)</f>
        <v>-30450</v>
      </c>
      <c r="O11" s="45">
        <f>VLOOKUP(A11,[11]III!$C$19:$E$32,3,0)</f>
        <v>-37261</v>
      </c>
      <c r="P11" s="7"/>
      <c r="Q11" s="45">
        <f>VLOOKUP(A11,[12]III!$C$19:$E$32,3,0)</f>
        <v>-336</v>
      </c>
      <c r="R11" s="45">
        <f>VLOOKUP(A11,[13]III!$C$19:$E$32,3,0)</f>
        <v>-8183</v>
      </c>
      <c r="S11" s="48">
        <f>VLOOKUP(A11,[14]III!$C$19:$E$32,3,0)</f>
        <v>-13219</v>
      </c>
      <c r="T11" s="302">
        <f>VLOOKUP(A11,[15]III!$C$19:$E$32,3,0)</f>
        <v>-27437</v>
      </c>
      <c r="U11" s="1"/>
      <c r="V11" s="46">
        <f>VLOOKUP(A11,[16]III!$C$19:$E$32,3,0)</f>
        <v>-16507</v>
      </c>
      <c r="W11" s="45">
        <f>VLOOKUP(A11,[17]III!$C$19:$E$32,3,0)</f>
        <v>-26827</v>
      </c>
      <c r="X11" s="48">
        <f>VLOOKUP(A11,[18]III!$C$19:$E$32,3,0)</f>
        <v>-33894</v>
      </c>
      <c r="Y11" s="305">
        <f>VLOOKUP(A11,[19]III!$C$19:$E$33,3,0)</f>
        <v>-67734</v>
      </c>
      <c r="AA11" s="46">
        <f>VLOOKUP(A11,[20]III!$C$19:$E$33,3,0)</f>
        <v>-19793</v>
      </c>
      <c r="AB11" s="45"/>
      <c r="AC11" s="48"/>
      <c r="AD11" s="305"/>
    </row>
    <row r="12" spans="1:30" ht="16.05" customHeight="1" x14ac:dyDescent="0.3">
      <c r="A12" s="39" t="s">
        <v>268</v>
      </c>
      <c r="B12" s="45"/>
      <c r="C12" s="45"/>
      <c r="D12" s="45"/>
      <c r="E12" s="47"/>
      <c r="F12" s="58"/>
      <c r="G12" s="44"/>
      <c r="H12" s="45"/>
      <c r="I12" s="45"/>
      <c r="J12" s="45"/>
      <c r="K12" s="58"/>
      <c r="L12" s="44"/>
      <c r="M12" s="45"/>
      <c r="N12" s="45"/>
      <c r="O12" s="45"/>
      <c r="P12" s="7"/>
      <c r="Q12" s="45"/>
      <c r="R12" s="45"/>
      <c r="S12" s="48"/>
      <c r="T12" s="302"/>
      <c r="U12" s="1"/>
      <c r="V12" s="46"/>
      <c r="W12" s="45"/>
      <c r="X12" s="48"/>
      <c r="Y12" s="305">
        <f>VLOOKUP(A12,[19]III!$C$19:$E$33,3,0)</f>
        <v>-1530</v>
      </c>
      <c r="AA12" s="46">
        <f>VLOOKUP(A12,[20]III!$C$19:$E$33,3,0)</f>
        <v>0</v>
      </c>
      <c r="AB12" s="45"/>
      <c r="AC12" s="48"/>
      <c r="AD12" s="305"/>
    </row>
    <row r="13" spans="1:30" ht="16.05" customHeight="1" x14ac:dyDescent="0.3">
      <c r="A13" s="38" t="s">
        <v>239</v>
      </c>
      <c r="B13" s="45">
        <v>2507</v>
      </c>
      <c r="C13" s="45">
        <f>VLOOKUP(A13,[1]III!$C$19:$E$33,3,0)</f>
        <v>8092</v>
      </c>
      <c r="D13" s="45">
        <f>VLOOKUP(A13,[2]III!$C$19:$E$33,3,0)</f>
        <v>14300</v>
      </c>
      <c r="E13" s="47">
        <f>VLOOKUP(A13,[3]III!$C$19:$E$61,3,0)</f>
        <v>21859</v>
      </c>
      <c r="F13" s="57"/>
      <c r="G13" s="44">
        <f>VLOOKUP(A13,[4]III!$C$19:$E$33,3,0)</f>
        <v>3101</v>
      </c>
      <c r="H13" s="45">
        <f>VLOOKUP(A13,[5]III!$C$19:$E$32,3,0)</f>
        <v>4672</v>
      </c>
      <c r="I13" s="45">
        <f>VLOOKUP(A13,[6]III!$C$19:$E$32,3,0)</f>
        <v>8568</v>
      </c>
      <c r="J13" s="45">
        <f>VLOOKUP(A13,[7]III!$C$19:$E$33,3,0)</f>
        <v>11603</v>
      </c>
      <c r="K13" s="57"/>
      <c r="L13" s="44">
        <f>VLOOKUP(A13,[8]III!$C$19:$E$32,3,0)</f>
        <v>1016</v>
      </c>
      <c r="M13" s="45">
        <f>VLOOKUP(A13,[9]III!$C$19:$E$32,3,0)</f>
        <v>1016</v>
      </c>
      <c r="N13" s="45">
        <f>VLOOKUP(A13,[10]III!$C$19:$E$32,3,0)</f>
        <v>1016</v>
      </c>
      <c r="O13" s="47">
        <f>VLOOKUP(A13,[11]III!$C$19:$E$32,3,0)</f>
        <v>8259</v>
      </c>
      <c r="P13" s="7"/>
      <c r="Q13" s="47">
        <f>VLOOKUP(A13,[12]III!$C$19:$E$32,3,0)</f>
        <v>1680</v>
      </c>
      <c r="R13" s="47">
        <f>VLOOKUP(A13,[13]III!$C$19:$E$32,3,0)</f>
        <v>6890</v>
      </c>
      <c r="S13" s="48">
        <f>VLOOKUP(A13,[14]III!$C$19:$E$32,3,0)</f>
        <v>10486</v>
      </c>
      <c r="T13" s="302">
        <f>VLOOKUP(A13,[15]III!$C$19:$E$32,3,0)</f>
        <v>19430</v>
      </c>
      <c r="U13" s="1"/>
      <c r="V13" s="46">
        <f>VLOOKUP(A13,[16]III!$C$19:$E$32,3,0)</f>
        <v>1849</v>
      </c>
      <c r="W13" s="45">
        <f>VLOOKUP(A13,[17]III!$C$19:$E$32,3,0)</f>
        <v>9660</v>
      </c>
      <c r="X13" s="48">
        <f>VLOOKUP(A13,[18]III!$C$19:$E$32,3,0)</f>
        <v>11601</v>
      </c>
      <c r="Y13" s="305">
        <f>VLOOKUP(A13,[19]III!$C$19:$E$33,3,0)</f>
        <v>25401</v>
      </c>
      <c r="AA13" s="46">
        <f>VLOOKUP(A13,[20]III!$C$19:$E$33,3,0)</f>
        <v>7288</v>
      </c>
      <c r="AB13" s="45"/>
      <c r="AC13" s="48"/>
      <c r="AD13" s="305"/>
    </row>
    <row r="14" spans="1:30" ht="16.05" customHeight="1" x14ac:dyDescent="0.3">
      <c r="A14" s="383" t="s">
        <v>104</v>
      </c>
      <c r="B14" s="381">
        <v>104077</v>
      </c>
      <c r="C14" s="381">
        <f>SUM(C10:C13)</f>
        <v>788648</v>
      </c>
      <c r="D14" s="381">
        <f>SUM(D10:D13)</f>
        <v>869521</v>
      </c>
      <c r="E14" s="381">
        <f>SUM(E10:E13)</f>
        <v>1660233</v>
      </c>
      <c r="F14" s="60"/>
      <c r="G14" s="381">
        <f>SUM(G10:G13)</f>
        <v>-77150</v>
      </c>
      <c r="H14" s="381">
        <f>SUM(H10:H13)</f>
        <v>-177617</v>
      </c>
      <c r="I14" s="381">
        <f>SUM(I10:I13)</f>
        <v>-292165</v>
      </c>
      <c r="J14" s="381">
        <f>SUM(J10:J13)</f>
        <v>-89781</v>
      </c>
      <c r="K14" s="60"/>
      <c r="L14" s="381">
        <f>SUM(L10:L13)</f>
        <v>-62827</v>
      </c>
      <c r="M14" s="381">
        <f>SUM(M10:M13)</f>
        <v>-42441</v>
      </c>
      <c r="N14" s="381">
        <f>SUM(N10:N13)</f>
        <v>-130461</v>
      </c>
      <c r="O14" s="381">
        <f>SUM(O10:O13)</f>
        <v>-49513</v>
      </c>
      <c r="P14" s="7"/>
      <c r="Q14" s="381">
        <f>SUM(Q10:Q13)</f>
        <v>18141</v>
      </c>
      <c r="R14" s="381">
        <f>SUM(R10:R13)</f>
        <v>46037</v>
      </c>
      <c r="S14" s="381">
        <f>SUM(S10:S13)</f>
        <v>123286</v>
      </c>
      <c r="T14" s="382">
        <f>SUM(T10:T13)</f>
        <v>372933</v>
      </c>
      <c r="U14" s="1"/>
      <c r="V14" s="380">
        <f>SUM(V10:V13)</f>
        <v>201573</v>
      </c>
      <c r="W14" s="381">
        <f>SUM(W10:W13)</f>
        <v>294695</v>
      </c>
      <c r="X14" s="381">
        <f>SUM(X10:X13)</f>
        <v>309087</v>
      </c>
      <c r="Y14" s="382">
        <f>SUM(Y10:Y13)</f>
        <v>360644</v>
      </c>
      <c r="AA14" s="380">
        <f>SUM(AA10:AA13)</f>
        <v>111291</v>
      </c>
      <c r="AB14" s="381">
        <f>SUM(AB10:AB13)</f>
        <v>0</v>
      </c>
      <c r="AC14" s="381">
        <f>SUM(AC10:AC13)</f>
        <v>0</v>
      </c>
      <c r="AD14" s="382">
        <f>SUM(AD10:AD13)</f>
        <v>0</v>
      </c>
    </row>
    <row r="15" spans="1:30" ht="16.05" customHeight="1" x14ac:dyDescent="0.3">
      <c r="A15" s="59"/>
      <c r="B15" s="44"/>
      <c r="C15" s="45"/>
      <c r="D15" s="45"/>
      <c r="E15" s="47"/>
      <c r="F15" s="71"/>
      <c r="G15" s="44"/>
      <c r="H15" s="45"/>
      <c r="I15" s="45"/>
      <c r="J15" s="47"/>
      <c r="K15" s="71"/>
      <c r="L15" s="44"/>
      <c r="M15" s="45"/>
      <c r="N15" s="45"/>
      <c r="O15" s="47"/>
      <c r="P15" s="7"/>
      <c r="Q15" s="47"/>
      <c r="R15" s="47"/>
      <c r="S15" s="48"/>
      <c r="T15" s="74"/>
      <c r="U15" s="1"/>
      <c r="V15" s="46"/>
      <c r="W15" s="45"/>
      <c r="X15" s="45"/>
      <c r="Y15" s="74"/>
      <c r="AA15" s="46"/>
      <c r="AB15" s="45"/>
      <c r="AC15" s="45"/>
      <c r="AD15" s="74"/>
    </row>
    <row r="16" spans="1:30" ht="16.05" customHeight="1" x14ac:dyDescent="0.3">
      <c r="A16" s="37" t="s">
        <v>254</v>
      </c>
      <c r="B16" s="44"/>
      <c r="C16" s="45"/>
      <c r="D16" s="45"/>
      <c r="E16" s="47"/>
      <c r="F16" s="56"/>
      <c r="G16" s="44"/>
      <c r="H16" s="45"/>
      <c r="I16" s="45"/>
      <c r="J16" s="47"/>
      <c r="K16" s="56"/>
      <c r="L16" s="44"/>
      <c r="M16" s="45"/>
      <c r="N16" s="45"/>
      <c r="O16" s="47"/>
      <c r="P16" s="7"/>
      <c r="Q16" s="47"/>
      <c r="R16" s="47"/>
      <c r="S16" s="48"/>
      <c r="T16" s="74"/>
      <c r="U16" s="1"/>
      <c r="V16" s="46"/>
      <c r="W16" s="45"/>
      <c r="X16" s="48"/>
      <c r="Y16" s="74"/>
      <c r="AA16" s="46"/>
      <c r="AB16" s="45"/>
      <c r="AC16" s="48"/>
      <c r="AD16" s="74"/>
    </row>
    <row r="17" spans="1:30" ht="16.05" customHeight="1" x14ac:dyDescent="0.3">
      <c r="A17" s="38" t="s">
        <v>240</v>
      </c>
      <c r="B17" s="44">
        <v>0</v>
      </c>
      <c r="C17" s="45">
        <f>VLOOKUP(A17,[1]III!$C$36:$E$60,3,0)</f>
        <v>15000</v>
      </c>
      <c r="D17" s="45">
        <f>VLOOKUP(A17,[2]III!$C$36:$E$60,3,0)</f>
        <v>15000</v>
      </c>
      <c r="E17" s="47">
        <f>VLOOKUP(A17,[3]III!$C$19:$E$61,3,0)</f>
        <v>30000</v>
      </c>
      <c r="F17" s="57"/>
      <c r="G17" s="44">
        <v>0</v>
      </c>
      <c r="H17" s="45">
        <f>VLOOKUP(A17,[5]III!$C$36:$E$59,3,0)</f>
        <v>500</v>
      </c>
      <c r="I17" s="45">
        <f>VLOOKUP(A17,[6]III!$C$36:$E$60,3,0)</f>
        <v>500</v>
      </c>
      <c r="J17" s="47">
        <f>VLOOKUP(A17,[7]III!$C$36:$E$63,3,0)</f>
        <v>500</v>
      </c>
      <c r="K17" s="57"/>
      <c r="L17" s="44">
        <v>0</v>
      </c>
      <c r="M17" s="45">
        <f>VLOOKUP(A17,[9]III!$C$36:$E$61,3,0)</f>
        <v>1000</v>
      </c>
      <c r="N17" s="45">
        <f>VLOOKUP(A17,[10]III!$C$36:$E$61,3,0)</f>
        <v>71000</v>
      </c>
      <c r="O17" s="47">
        <f>VLOOKUP(A17,[11]III!$C$36:$E$61,3,0)</f>
        <v>101000</v>
      </c>
      <c r="P17" s="7"/>
      <c r="Q17" s="47">
        <v>0</v>
      </c>
      <c r="R17" s="47">
        <f>VLOOKUP(A17,[13]III!$C$36:$E$63,3,0)</f>
        <v>31000</v>
      </c>
      <c r="S17" s="48">
        <f>VLOOKUP(A17,[14]III!$C$36:$E$64,3,0)</f>
        <v>31000</v>
      </c>
      <c r="T17" s="74">
        <f>VLOOKUP(A17,[15]III!$C$36:$E$63,3,0)</f>
        <v>31000</v>
      </c>
      <c r="U17" s="1"/>
      <c r="V17" s="46">
        <v>0</v>
      </c>
      <c r="W17" s="45">
        <f>VLOOKUP(A17,[17]III!$C$36:$E$63,3,0)</f>
        <v>1000</v>
      </c>
      <c r="X17" s="48">
        <f>VLOOKUP(A17,[18]III!$C$36:$E$63,3,0)</f>
        <v>36000</v>
      </c>
      <c r="Y17" s="74">
        <f>VLOOKUP(A17,[19]III!$C$37:$E$65,3,0)</f>
        <v>36000</v>
      </c>
      <c r="AA17" s="46">
        <v>0</v>
      </c>
      <c r="AB17" s="45"/>
      <c r="AC17" s="48"/>
      <c r="AD17" s="74"/>
    </row>
    <row r="18" spans="1:30" ht="16.05" customHeight="1" x14ac:dyDescent="0.3">
      <c r="A18" s="38" t="s">
        <v>265</v>
      </c>
      <c r="B18" s="44"/>
      <c r="C18" s="45"/>
      <c r="D18" s="45"/>
      <c r="E18" s="47"/>
      <c r="F18" s="57"/>
      <c r="G18" s="44"/>
      <c r="H18" s="45"/>
      <c r="I18" s="45"/>
      <c r="J18" s="47"/>
      <c r="K18" s="57"/>
      <c r="L18" s="44"/>
      <c r="M18" s="45"/>
      <c r="N18" s="45"/>
      <c r="O18" s="47">
        <f>VLOOKUP(A18,[11]III!$C$36:$E$61,3,0)</f>
        <v>2400</v>
      </c>
      <c r="P18" s="7"/>
      <c r="Q18" s="47">
        <v>0</v>
      </c>
      <c r="R18" s="47">
        <v>0</v>
      </c>
      <c r="S18" s="48">
        <v>0</v>
      </c>
      <c r="T18" s="74">
        <v>0</v>
      </c>
      <c r="U18" s="1"/>
      <c r="V18" s="46">
        <v>0</v>
      </c>
      <c r="W18" s="45">
        <v>0</v>
      </c>
      <c r="X18" s="48">
        <v>0</v>
      </c>
      <c r="Y18" s="74">
        <v>0</v>
      </c>
      <c r="AA18" s="46">
        <v>0</v>
      </c>
      <c r="AB18" s="45"/>
      <c r="AC18" s="48"/>
      <c r="AD18" s="74"/>
    </row>
    <row r="19" spans="1:30" ht="16.05" customHeight="1" x14ac:dyDescent="0.3">
      <c r="A19" s="38" t="s">
        <v>66</v>
      </c>
      <c r="B19" s="44">
        <v>0</v>
      </c>
      <c r="C19" s="45">
        <v>0</v>
      </c>
      <c r="D19" s="45">
        <v>0</v>
      </c>
      <c r="E19" s="47">
        <v>0</v>
      </c>
      <c r="F19" s="57"/>
      <c r="G19" s="44">
        <v>0</v>
      </c>
      <c r="H19" s="45">
        <v>0</v>
      </c>
      <c r="I19" s="45">
        <v>0</v>
      </c>
      <c r="J19" s="45">
        <v>0</v>
      </c>
      <c r="K19" s="57"/>
      <c r="L19" s="44">
        <v>0</v>
      </c>
      <c r="M19" s="45">
        <v>0</v>
      </c>
      <c r="N19" s="45">
        <v>0</v>
      </c>
      <c r="O19" s="47">
        <v>0</v>
      </c>
      <c r="P19" s="7"/>
      <c r="Q19" s="47">
        <v>0</v>
      </c>
      <c r="R19" s="47">
        <v>0</v>
      </c>
      <c r="S19" s="48">
        <v>0</v>
      </c>
      <c r="T19" s="74">
        <f>VLOOKUP(A19,[15]III!$C$36:$E$63,3,0)</f>
        <v>0</v>
      </c>
      <c r="U19" s="1"/>
      <c r="V19" s="46">
        <v>0</v>
      </c>
      <c r="W19" s="45">
        <f>VLOOKUP(A19,[17]III!$C$36:$E$63,3,0)</f>
        <v>0</v>
      </c>
      <c r="X19" s="48">
        <f>VLOOKUP(A19,[18]III!$C$36:$E$63,3,0)</f>
        <v>0</v>
      </c>
      <c r="Y19" s="74">
        <f>VLOOKUP(A19,[19]III!$C$37:$E$65,3,0)</f>
        <v>0</v>
      </c>
      <c r="AA19" s="46">
        <v>0</v>
      </c>
      <c r="AB19" s="45"/>
      <c r="AC19" s="48"/>
      <c r="AD19" s="74"/>
    </row>
    <row r="20" spans="1:30" ht="16.05" customHeight="1" x14ac:dyDescent="0.3">
      <c r="A20" s="38" t="s">
        <v>244</v>
      </c>
      <c r="B20" s="44">
        <v>0</v>
      </c>
      <c r="C20" s="45">
        <f>VLOOKUP(A20,[1]III!$C$36:$E$60,3,0)</f>
        <v>49867</v>
      </c>
      <c r="D20" s="45">
        <f>VLOOKUP(A20,[2]III!$C$36:$E$60,3,0)</f>
        <v>49867</v>
      </c>
      <c r="E20" s="47">
        <v>0</v>
      </c>
      <c r="F20" s="57"/>
      <c r="G20" s="44">
        <v>0</v>
      </c>
      <c r="H20" s="45">
        <v>0</v>
      </c>
      <c r="I20" s="45">
        <f>VLOOKUP(A20,[6]III!$C$36:$E$60,3,0)</f>
        <v>-460000</v>
      </c>
      <c r="J20" s="45">
        <v>0</v>
      </c>
      <c r="K20" s="57"/>
      <c r="L20" s="44">
        <v>0</v>
      </c>
      <c r="M20" s="45">
        <v>0</v>
      </c>
      <c r="N20" s="45">
        <v>0</v>
      </c>
      <c r="O20" s="47">
        <v>0</v>
      </c>
      <c r="P20" s="7"/>
      <c r="Q20" s="47">
        <v>0</v>
      </c>
      <c r="R20" s="47">
        <v>0</v>
      </c>
      <c r="S20" s="48">
        <v>0</v>
      </c>
      <c r="T20" s="74">
        <v>0</v>
      </c>
      <c r="U20" s="1"/>
      <c r="V20" s="46">
        <v>0</v>
      </c>
      <c r="W20" s="45">
        <v>0</v>
      </c>
      <c r="X20" s="48">
        <v>0</v>
      </c>
      <c r="Y20" s="74">
        <v>0</v>
      </c>
      <c r="AA20" s="46">
        <v>0</v>
      </c>
      <c r="AB20" s="45"/>
      <c r="AC20" s="48"/>
      <c r="AD20" s="74"/>
    </row>
    <row r="21" spans="1:30" ht="16.05" customHeight="1" x14ac:dyDescent="0.3">
      <c r="A21" s="38" t="s">
        <v>266</v>
      </c>
      <c r="B21" s="44">
        <v>0</v>
      </c>
      <c r="C21" s="45">
        <v>0</v>
      </c>
      <c r="D21" s="45">
        <v>0</v>
      </c>
      <c r="E21" s="47">
        <v>0</v>
      </c>
      <c r="F21" s="57"/>
      <c r="G21" s="44">
        <v>0</v>
      </c>
      <c r="H21" s="45">
        <v>0</v>
      </c>
      <c r="I21" s="45">
        <v>0</v>
      </c>
      <c r="J21" s="45">
        <v>0</v>
      </c>
      <c r="K21" s="57"/>
      <c r="L21" s="44">
        <v>0</v>
      </c>
      <c r="M21" s="45">
        <v>0</v>
      </c>
      <c r="N21" s="45">
        <v>0</v>
      </c>
      <c r="O21" s="47">
        <v>0</v>
      </c>
      <c r="P21" s="7"/>
      <c r="Q21" s="47">
        <f>VLOOKUP(A21,[12]III!$C$50:$E$61,3,)</f>
        <v>356</v>
      </c>
      <c r="R21" s="47">
        <f>VLOOKUP(A21,[13]III!$C$36:$E$63,3,0)</f>
        <v>356</v>
      </c>
      <c r="S21" s="48">
        <f>VLOOKUP(A21,[14]III!$C$36:$E$64,3,0)</f>
        <v>356</v>
      </c>
      <c r="T21" s="74">
        <f>VLOOKUP(A21,[15]III!$C$36:$E$63,3,0)</f>
        <v>356</v>
      </c>
      <c r="U21" s="1"/>
      <c r="V21" s="46">
        <v>0</v>
      </c>
      <c r="W21" s="45">
        <v>0</v>
      </c>
      <c r="X21" s="48">
        <v>0</v>
      </c>
      <c r="Y21" s="74">
        <v>0</v>
      </c>
      <c r="AA21" s="46">
        <v>0</v>
      </c>
      <c r="AB21" s="45"/>
      <c r="AC21" s="48"/>
      <c r="AD21" s="74"/>
    </row>
    <row r="22" spans="1:30" ht="16.05" customHeight="1" x14ac:dyDescent="0.3">
      <c r="A22" s="38" t="s">
        <v>106</v>
      </c>
      <c r="B22" s="44">
        <v>0</v>
      </c>
      <c r="C22" s="45">
        <v>0</v>
      </c>
      <c r="D22" s="45">
        <v>0</v>
      </c>
      <c r="E22" s="47">
        <v>0</v>
      </c>
      <c r="F22" s="57"/>
      <c r="G22" s="44">
        <v>0</v>
      </c>
      <c r="H22" s="45">
        <v>0</v>
      </c>
      <c r="I22" s="45">
        <v>0</v>
      </c>
      <c r="J22" s="45">
        <v>0</v>
      </c>
      <c r="K22" s="57"/>
      <c r="L22" s="44">
        <v>0</v>
      </c>
      <c r="M22" s="45">
        <v>0</v>
      </c>
      <c r="N22" s="45">
        <v>0</v>
      </c>
      <c r="O22" s="47">
        <v>0</v>
      </c>
      <c r="P22" s="7"/>
      <c r="Q22" s="47">
        <v>0</v>
      </c>
      <c r="R22" s="47">
        <v>0</v>
      </c>
      <c r="S22" s="48">
        <v>0</v>
      </c>
      <c r="T22" s="74">
        <v>0</v>
      </c>
      <c r="U22" s="1"/>
      <c r="V22" s="46">
        <v>0</v>
      </c>
      <c r="W22" s="45">
        <v>0</v>
      </c>
      <c r="X22" s="48">
        <v>0</v>
      </c>
      <c r="Y22" s="74">
        <f>VLOOKUP(A22,[19]III!$C$37:$E$65,3,0)</f>
        <v>8655</v>
      </c>
      <c r="AA22" s="46">
        <v>0</v>
      </c>
      <c r="AB22" s="45"/>
      <c r="AC22" s="48"/>
      <c r="AD22" s="74"/>
    </row>
    <row r="23" spans="1:30" ht="16.05" customHeight="1" x14ac:dyDescent="0.3">
      <c r="A23" t="s">
        <v>263</v>
      </c>
      <c r="B23" s="44"/>
      <c r="C23" s="45"/>
      <c r="D23" s="45"/>
      <c r="E23" s="47"/>
      <c r="F23" s="57"/>
      <c r="G23" s="44"/>
      <c r="H23" s="45"/>
      <c r="I23" s="45"/>
      <c r="J23" s="45"/>
      <c r="K23" s="57"/>
      <c r="L23" s="44"/>
      <c r="M23" s="45">
        <f>VLOOKUP(A23,[9]III!$C$36:$E$61,3,0)</f>
        <v>148026</v>
      </c>
      <c r="N23" s="45">
        <f>VLOOKUP(A23,[10]III!$C$36:$E$61,3,0)</f>
        <v>148026</v>
      </c>
      <c r="O23" s="367">
        <f>VLOOKUP(A23,[11]III!$C$36:$E$61,3,0)</f>
        <v>148026</v>
      </c>
      <c r="P23" s="7"/>
      <c r="Q23" s="47">
        <v>0</v>
      </c>
      <c r="R23" s="47">
        <v>0</v>
      </c>
      <c r="S23" s="48">
        <v>0</v>
      </c>
      <c r="T23" s="74">
        <v>0</v>
      </c>
      <c r="U23" s="1"/>
      <c r="V23" s="46">
        <v>0</v>
      </c>
      <c r="W23" s="45">
        <v>0</v>
      </c>
      <c r="X23" s="48">
        <v>0</v>
      </c>
      <c r="Y23" s="74">
        <v>0</v>
      </c>
      <c r="AA23" s="46">
        <v>0</v>
      </c>
      <c r="AB23" s="45"/>
      <c r="AC23" s="48"/>
      <c r="AD23" s="74"/>
    </row>
    <row r="24" spans="1:30" ht="16.05" customHeight="1" x14ac:dyDescent="0.3">
      <c r="A24" s="38" t="s">
        <v>107</v>
      </c>
      <c r="B24" s="44">
        <v>-8969</v>
      </c>
      <c r="C24" s="45">
        <f>VLOOKUP(A24,[1]III!$C$36:$E$60,3,0)</f>
        <v>-19463</v>
      </c>
      <c r="D24" s="45">
        <f>VLOOKUP(A24,[2]III!$C$36:$E$60,3,0)</f>
        <v>-27519</v>
      </c>
      <c r="E24" s="47">
        <f>VLOOKUP(A24,[3]III!$C$19:$E$61,3,0)</f>
        <v>-37866</v>
      </c>
      <c r="F24" s="57"/>
      <c r="G24" s="44">
        <f>VLOOKUP(A24,[4]III!$C$50:$E$59,3,0)</f>
        <v>-7005</v>
      </c>
      <c r="H24" s="45">
        <f>VLOOKUP(A24,[5]III!$C$36:$E$59,3,0)</f>
        <v>-19262</v>
      </c>
      <c r="I24" s="45">
        <f>VLOOKUP(A24,[6]III!$C$36:$E$60,3,0)</f>
        <v>-36332</v>
      </c>
      <c r="J24" s="47">
        <f>VLOOKUP(A24,[7]III!$C$36:$E$63,3,0)</f>
        <v>-16820</v>
      </c>
      <c r="K24" s="57"/>
      <c r="L24" s="44">
        <f>VLOOKUP(A24,[8]III!$C$51:$E$61,3,0)</f>
        <v>-3985</v>
      </c>
      <c r="M24" s="45">
        <f>VLOOKUP(A24,[9]III!$C$36:$E$61,3,0)</f>
        <v>-7764</v>
      </c>
      <c r="N24" s="45">
        <f>VLOOKUP(A24,[10]III!$C$36:$E$61,3,0)</f>
        <v>-8902</v>
      </c>
      <c r="O24" s="47">
        <f>VLOOKUP(A24,[11]III!$C$36:$E$61,3,0)</f>
        <v>-12803</v>
      </c>
      <c r="P24" s="7"/>
      <c r="Q24" s="47">
        <f>VLOOKUP(A24,[12]III!$C$50:$E$61,3,)</f>
        <v>0</v>
      </c>
      <c r="R24" s="47">
        <f>VLOOKUP(A24,[13]III!$C$36:$E$63,3,0)</f>
        <v>-1566</v>
      </c>
      <c r="S24" s="48">
        <f>VLOOKUP(A24,[14]III!$C$36:$E$64,3,0)</f>
        <v>-1634</v>
      </c>
      <c r="T24" s="74">
        <f>VLOOKUP(A24,[15]III!$C$36:$E$63,3,0)</f>
        <v>-1861</v>
      </c>
      <c r="U24" s="1"/>
      <c r="V24" s="46">
        <f>VLOOKUP(A24,[16]III!$C$50:$E$63,3,0)</f>
        <v>0</v>
      </c>
      <c r="W24" s="45">
        <f>VLOOKUP(A24,[17]III!$C$36:$E$63,3,0)</f>
        <v>-1</v>
      </c>
      <c r="X24" s="48">
        <f>VLOOKUP(A24,[18]III!$C$36:$E$63,3,0)</f>
        <v>-66</v>
      </c>
      <c r="Y24" s="74">
        <f>VLOOKUP(A24,[19]III!$C$37:$E$65,3,0)</f>
        <v>-645</v>
      </c>
      <c r="AA24" s="46">
        <f>VLOOKUP(A24,[20]III!$C$54:$E$65,3,0)</f>
        <v>-3</v>
      </c>
      <c r="AB24" s="45"/>
      <c r="AC24" s="48"/>
      <c r="AD24" s="74"/>
    </row>
    <row r="25" spans="1:30" ht="16.05" customHeight="1" x14ac:dyDescent="0.3">
      <c r="A25" s="38" t="s">
        <v>262</v>
      </c>
      <c r="B25" s="44">
        <v>0</v>
      </c>
      <c r="C25" s="45">
        <v>0</v>
      </c>
      <c r="D25" s="45">
        <v>0</v>
      </c>
      <c r="E25" s="47">
        <v>0</v>
      </c>
      <c r="F25" s="57"/>
      <c r="G25" s="44">
        <v>0</v>
      </c>
      <c r="H25" s="45">
        <v>0</v>
      </c>
      <c r="I25" s="45">
        <v>0</v>
      </c>
      <c r="J25" s="47">
        <f>VLOOKUP(A25,[7]III!$C$36:$E$63,3,0)</f>
        <v>-18400</v>
      </c>
      <c r="K25" s="57"/>
      <c r="L25" s="44">
        <f>VLOOKUP(A25,[8]III!$C$51:$E$61,3,0)</f>
        <v>-3560</v>
      </c>
      <c r="M25" s="45">
        <f>VLOOKUP(A25,[9]III!$C$36:$E$61,3,0)</f>
        <v>-4398</v>
      </c>
      <c r="N25" s="45">
        <f>VLOOKUP(A25,[10]III!$C$36:$E$61,3,0)</f>
        <v>-7860</v>
      </c>
      <c r="O25" s="47">
        <f>VLOOKUP(A25,[11]III!$C$36:$E$61,3,0)</f>
        <v>-9310</v>
      </c>
      <c r="P25" s="7"/>
      <c r="Q25" s="47">
        <f>VLOOKUP(A25,[12]III!$C$50:$E$61,3,)</f>
        <v>-1460</v>
      </c>
      <c r="R25" s="47">
        <f>VLOOKUP(A25,[13]III!$C$36:$E$63,3,0)</f>
        <v>-9095</v>
      </c>
      <c r="S25" s="48">
        <f>VLOOKUP(A25,[14]III!$C$36:$E$64,3,0)</f>
        <v>-9216</v>
      </c>
      <c r="T25" s="74">
        <f>VLOOKUP(A25,[15]III!$C$36:$E$63,3,0)</f>
        <v>-22214</v>
      </c>
      <c r="U25" s="1"/>
      <c r="V25" s="46">
        <v>0</v>
      </c>
      <c r="W25" s="45">
        <f>VLOOKUP(A25,[17]III!$C$36:$E$63,3,0)</f>
        <v>-1951</v>
      </c>
      <c r="X25" s="48">
        <f>VLOOKUP(A25,[18]III!$C$36:$E$63,3,0)</f>
        <v>-9551</v>
      </c>
      <c r="Y25" s="74">
        <f>VLOOKUP(A25,[19]III!$C$37:$E$65,3,0)</f>
        <v>-9551</v>
      </c>
      <c r="AA25" s="46">
        <v>0</v>
      </c>
      <c r="AB25" s="45"/>
      <c r="AC25" s="48"/>
      <c r="AD25" s="74"/>
    </row>
    <row r="26" spans="1:30" ht="16.05" customHeight="1" x14ac:dyDescent="0.3">
      <c r="A26" s="38" t="s">
        <v>252</v>
      </c>
      <c r="B26" s="44">
        <v>0</v>
      </c>
      <c r="C26" s="45"/>
      <c r="D26" s="45"/>
      <c r="E26" s="47">
        <f>VLOOKUP(A26,[3]III!$C$19:$E$61,3,0)</f>
        <v>2810</v>
      </c>
      <c r="F26" s="57"/>
      <c r="G26" s="44">
        <f>VLOOKUP(A26,[4]III!$C$50:$E$59,3,0)</f>
        <v>0</v>
      </c>
      <c r="H26" s="45">
        <f>VLOOKUP(A26,[5]III!$C$36:$E$59,3,0)</f>
        <v>0</v>
      </c>
      <c r="I26" s="45">
        <f>VLOOKUP(A26,[6]III!$C$36:$E$60,3,0)</f>
        <v>0</v>
      </c>
      <c r="J26" s="45">
        <v>0</v>
      </c>
      <c r="K26" s="57"/>
      <c r="L26" s="44">
        <v>0</v>
      </c>
      <c r="M26" s="45">
        <v>0</v>
      </c>
      <c r="N26" s="45">
        <v>0</v>
      </c>
      <c r="O26" s="47">
        <v>0</v>
      </c>
      <c r="P26" s="7"/>
      <c r="Q26" s="47">
        <v>0</v>
      </c>
      <c r="R26" s="47">
        <v>0</v>
      </c>
      <c r="S26" s="48">
        <v>0</v>
      </c>
      <c r="T26" s="74">
        <v>0</v>
      </c>
      <c r="U26" s="1"/>
      <c r="V26" s="46">
        <v>0</v>
      </c>
      <c r="W26" s="45">
        <v>0</v>
      </c>
      <c r="X26" s="48">
        <v>0</v>
      </c>
      <c r="Y26" s="74">
        <v>0</v>
      </c>
      <c r="AA26" s="46">
        <v>0</v>
      </c>
      <c r="AB26" s="45"/>
      <c r="AC26" s="48"/>
      <c r="AD26" s="74"/>
    </row>
    <row r="27" spans="1:30" ht="16.05" customHeight="1" x14ac:dyDescent="0.3">
      <c r="A27" s="38" t="s">
        <v>241</v>
      </c>
      <c r="B27" s="44">
        <v>-3468</v>
      </c>
      <c r="C27" s="45">
        <f>VLOOKUP(A27,[1]III!$C$36:$E$60,3,0)</f>
        <v>-3468</v>
      </c>
      <c r="D27" s="45">
        <f>VLOOKUP(A27,[2]III!$C$36:$E$60,3,0)</f>
        <v>-6077</v>
      </c>
      <c r="E27" s="47">
        <f>VLOOKUP(A27,[3]III!$C$19:$E$61,3,0)</f>
        <v>-18861</v>
      </c>
      <c r="F27" s="57"/>
      <c r="G27" s="44">
        <f>VLOOKUP(A27,[4]III!$C$50:$E$59,3,0)</f>
        <v>-30000</v>
      </c>
      <c r="H27" s="45">
        <f>VLOOKUP(A27,[5]III!$C$36:$E$59,3,0)</f>
        <v>-32784</v>
      </c>
      <c r="I27" s="45">
        <f>VLOOKUP(A27,[6]III!$C$36:$E$60,3,0)</f>
        <v>-36827</v>
      </c>
      <c r="J27" s="47">
        <f>VLOOKUP(A27,[7]III!$C$36:$E$63,3,0)</f>
        <v>-36824</v>
      </c>
      <c r="K27" s="57"/>
      <c r="L27" s="44">
        <f>VLOOKUP(A27,[8]III!$C$51:$E$61,3,0)</f>
        <v>-1000</v>
      </c>
      <c r="M27" s="45">
        <f>VLOOKUP(A27,[9]III!$C$36:$E$61,3,0)</f>
        <v>-1000</v>
      </c>
      <c r="N27" s="45">
        <f>VLOOKUP(A27,[10]III!$C$36:$E$61,3,0)</f>
        <v>-1000</v>
      </c>
      <c r="O27" s="47">
        <f>VLOOKUP(A27,[11]III!$C$36:$E$61,3,0)</f>
        <v>-1000</v>
      </c>
      <c r="P27" s="7"/>
      <c r="Q27" s="47">
        <f>VLOOKUP(A27,[12]III!$C$50:$E$61,3,)</f>
        <v>-500</v>
      </c>
      <c r="R27" s="47">
        <f>VLOOKUP(A27,[13]III!$C$36:$E$63,3,0)</f>
        <v>3000</v>
      </c>
      <c r="S27" s="48">
        <f>VLOOKUP(A27,[14]III!$C$36:$E$64,3,0)</f>
        <v>8698</v>
      </c>
      <c r="T27" s="74">
        <f>VLOOKUP(A27,[15]III!$C$36:$E$63,3,0)</f>
        <v>8698</v>
      </c>
      <c r="U27" s="1"/>
      <c r="V27" s="46">
        <f>VLOOKUP(A27,[16]III!$C$50:$E$63,3,0)</f>
        <v>0</v>
      </c>
      <c r="W27" s="45">
        <f>VLOOKUP(A27,[17]III!$C$36:$E$63,3,0)</f>
        <v>5425</v>
      </c>
      <c r="X27" s="48">
        <f>VLOOKUP(A27,[18]III!$C$36:$E$63,3,0)</f>
        <v>5425</v>
      </c>
      <c r="Y27" s="74">
        <f>VLOOKUP(A27,[19]III!$C$37:$E$65,3,0)</f>
        <v>11250</v>
      </c>
      <c r="AA27" s="46">
        <v>0</v>
      </c>
      <c r="AB27" s="45"/>
      <c r="AC27" s="48"/>
      <c r="AD27" s="74"/>
    </row>
    <row r="28" spans="1:30" ht="16.05" customHeight="1" x14ac:dyDescent="0.3">
      <c r="A28" t="s">
        <v>264</v>
      </c>
      <c r="B28" s="44"/>
      <c r="C28" s="45"/>
      <c r="D28" s="45"/>
      <c r="E28" s="45"/>
      <c r="F28" s="57"/>
      <c r="G28" s="44"/>
      <c r="H28" s="45"/>
      <c r="I28" s="45"/>
      <c r="J28" s="45"/>
      <c r="K28" s="57"/>
      <c r="L28" s="44"/>
      <c r="M28" s="45"/>
      <c r="N28" s="45">
        <f>VLOOKUP(A28,[10]III!$C$36:$E$61,3,0)</f>
        <v>-2600</v>
      </c>
      <c r="O28" s="45">
        <f>VLOOKUP(A28,[11]III!$C$36:$E$61,3,0)</f>
        <v>-2600</v>
      </c>
      <c r="P28" s="7"/>
      <c r="Q28" s="45">
        <f>VLOOKUP(A28,[12]III!$C$50:$E$61,3,)</f>
        <v>0</v>
      </c>
      <c r="R28" s="45">
        <f>VLOOKUP(A28,[13]III!$C$36:$E$63,3,0)</f>
        <v>0</v>
      </c>
      <c r="S28" s="48">
        <f>VLOOKUP(A28,[14]III!$C$36:$E$64,3,0)</f>
        <v>0</v>
      </c>
      <c r="T28" s="74">
        <f>VLOOKUP(A28,[15]III!$C$36:$E$63,3,0)</f>
        <v>0</v>
      </c>
      <c r="U28" s="1"/>
      <c r="V28" s="46">
        <f>VLOOKUP(A28,[16]III!$C$50:$E$63,3,0)</f>
        <v>0</v>
      </c>
      <c r="W28" s="45">
        <f>VLOOKUP(A28,[17]III!$C$36:$E$63,3,0)</f>
        <v>0</v>
      </c>
      <c r="X28" s="48">
        <f>VLOOKUP(A28,[18]III!$C$36:$E$63,3,0)</f>
        <v>0</v>
      </c>
      <c r="Y28" s="74">
        <f>VLOOKUP(A28,[19]III!$C$37:$E$65,3,0)</f>
        <v>0</v>
      </c>
      <c r="AA28" s="46">
        <f>VLOOKUP(A28,[20]III!$C$54:$E$65,3,0)</f>
        <v>0</v>
      </c>
      <c r="AB28" s="45"/>
      <c r="AC28" s="48"/>
      <c r="AD28" s="74"/>
    </row>
    <row r="29" spans="1:30" ht="16.05" customHeight="1" x14ac:dyDescent="0.3">
      <c r="A29" s="38" t="s">
        <v>242</v>
      </c>
      <c r="B29" s="44">
        <v>0</v>
      </c>
      <c r="C29" s="45">
        <f>VLOOKUP(A29,[1]III!$C$36:$E$60,3,0)</f>
        <v>-205729</v>
      </c>
      <c r="D29" s="45">
        <v>0</v>
      </c>
      <c r="E29" s="47">
        <v>0</v>
      </c>
      <c r="F29" s="57"/>
      <c r="G29" s="44">
        <v>0</v>
      </c>
      <c r="H29" s="45">
        <v>0</v>
      </c>
      <c r="I29" s="45">
        <v>0</v>
      </c>
      <c r="J29" s="45">
        <v>0</v>
      </c>
      <c r="K29" s="57"/>
      <c r="L29" s="44">
        <v>0</v>
      </c>
      <c r="M29" s="45">
        <v>0</v>
      </c>
      <c r="N29" s="45">
        <v>0</v>
      </c>
      <c r="O29" s="47">
        <v>0</v>
      </c>
      <c r="P29" s="7"/>
      <c r="Q29" s="47">
        <v>0</v>
      </c>
      <c r="R29" s="47">
        <v>0</v>
      </c>
      <c r="S29" s="48">
        <v>0</v>
      </c>
      <c r="T29" s="74">
        <v>0</v>
      </c>
      <c r="U29" s="1"/>
      <c r="V29" s="46">
        <v>0</v>
      </c>
      <c r="W29" s="45">
        <v>0</v>
      </c>
      <c r="X29" s="48">
        <v>0</v>
      </c>
      <c r="Y29" s="74">
        <v>0</v>
      </c>
      <c r="AA29" s="46">
        <v>0</v>
      </c>
      <c r="AB29" s="45"/>
      <c r="AC29" s="48"/>
      <c r="AD29" s="74"/>
    </row>
    <row r="30" spans="1:30" ht="16.05" customHeight="1" x14ac:dyDescent="0.3">
      <c r="A30" t="s">
        <v>243</v>
      </c>
      <c r="B30" s="44">
        <v>-4500</v>
      </c>
      <c r="C30" s="45">
        <f>VLOOKUP(A30,[1]III!$C$36:$E$60,3,0)</f>
        <v>-4500</v>
      </c>
      <c r="D30" s="45">
        <v>0</v>
      </c>
      <c r="E30" s="47">
        <v>0</v>
      </c>
      <c r="F30" s="57"/>
      <c r="G30" s="44">
        <v>0</v>
      </c>
      <c r="H30" s="366">
        <f>VLOOKUP(A30,[5]III!$C$36:$E$59,3,0)</f>
        <v>-18808</v>
      </c>
      <c r="I30" s="45">
        <v>0</v>
      </c>
      <c r="J30" s="45">
        <v>0</v>
      </c>
      <c r="K30" s="57"/>
      <c r="L30" s="44">
        <v>0</v>
      </c>
      <c r="M30" s="45">
        <v>0</v>
      </c>
      <c r="N30" s="45">
        <v>0</v>
      </c>
      <c r="O30" s="47">
        <v>0</v>
      </c>
      <c r="P30" s="7"/>
      <c r="Q30" s="47">
        <v>0</v>
      </c>
      <c r="R30" s="47">
        <v>0</v>
      </c>
      <c r="S30" s="48">
        <v>0</v>
      </c>
      <c r="T30" s="74">
        <v>0</v>
      </c>
      <c r="U30" s="1"/>
      <c r="V30" s="46">
        <v>0</v>
      </c>
      <c r="W30" s="45">
        <v>0</v>
      </c>
      <c r="X30" s="48">
        <v>0</v>
      </c>
      <c r="Y30" s="74">
        <v>0</v>
      </c>
      <c r="AA30" s="46">
        <v>0</v>
      </c>
      <c r="AB30" s="45"/>
      <c r="AC30" s="48"/>
      <c r="AD30" s="74"/>
    </row>
    <row r="31" spans="1:30" ht="16.05" customHeight="1" x14ac:dyDescent="0.3">
      <c r="A31" s="38" t="s">
        <v>248</v>
      </c>
      <c r="B31" s="44">
        <v>0</v>
      </c>
      <c r="C31" s="45">
        <v>0</v>
      </c>
      <c r="D31" s="45">
        <f>VLOOKUP(A31,[2]III!$C$36:$E$60,3,0)</f>
        <v>2000</v>
      </c>
      <c r="E31" s="47">
        <f>VLOOKUP(A31,[3]III!$C$19:$E$61,3,0)</f>
        <v>2000</v>
      </c>
      <c r="F31" s="57"/>
      <c r="G31" s="44">
        <v>0</v>
      </c>
      <c r="H31" s="45">
        <f>VLOOKUP(A31,[5]III!$C$36:$E$59,3,0)</f>
        <v>4500</v>
      </c>
      <c r="I31" s="45">
        <f>VLOOKUP(A31,[6]III!$C$36:$E$60,3,0)</f>
        <v>4500</v>
      </c>
      <c r="J31" s="47">
        <f>VLOOKUP(A31,[7]III!$C$36:$E$63,3,0)</f>
        <v>4500</v>
      </c>
      <c r="K31" s="57"/>
      <c r="L31" s="44">
        <v>0</v>
      </c>
      <c r="M31" s="45">
        <f>VLOOKUP(A31,[9]III!$C$36:$E$61,3,0)</f>
        <v>0</v>
      </c>
      <c r="N31" s="45">
        <f>VLOOKUP(A31,[10]III!$C$36:$E$61,3,0)</f>
        <v>5000</v>
      </c>
      <c r="O31" s="47">
        <f>VLOOKUP(A31,[11]III!$C$36:$E$61,3,0)</f>
        <v>5000</v>
      </c>
      <c r="P31" s="7"/>
      <c r="Q31" s="47">
        <v>0</v>
      </c>
      <c r="R31" s="47">
        <f>VLOOKUP(A31,[13]III!$C$36:$E$63,3,0)</f>
        <v>0</v>
      </c>
      <c r="S31" s="48">
        <f>VLOOKUP(A31,[14]III!$C$36:$E$64,3,0)</f>
        <v>0</v>
      </c>
      <c r="T31" s="74">
        <f>VLOOKUP(A31,[15]III!$C$36:$E$63,3,0)</f>
        <v>0</v>
      </c>
      <c r="U31" s="1"/>
      <c r="V31" s="46">
        <v>0</v>
      </c>
      <c r="W31" s="45">
        <f>VLOOKUP(A31,[17]III!$C$36:$E$63,3,0)</f>
        <v>0</v>
      </c>
      <c r="X31" s="48">
        <f>VLOOKUP(A31,[18]III!$C$36:$E$63,3,0)</f>
        <v>0</v>
      </c>
      <c r="Y31" s="74">
        <f>VLOOKUP(A31,[19]III!$C$37:$E$65,3,0)</f>
        <v>0</v>
      </c>
      <c r="AA31" s="46">
        <v>0</v>
      </c>
      <c r="AB31" s="45"/>
      <c r="AC31" s="48"/>
      <c r="AD31" s="74"/>
    </row>
    <row r="32" spans="1:30" ht="16.05" customHeight="1" x14ac:dyDescent="0.3">
      <c r="A32" s="38" t="s">
        <v>249</v>
      </c>
      <c r="B32" s="44">
        <v>0</v>
      </c>
      <c r="C32" s="45"/>
      <c r="D32" s="45">
        <f>VLOOKUP(A32,[2]III!$C$36:$E$60,3,0)</f>
        <v>10000</v>
      </c>
      <c r="E32" s="47">
        <f>VLOOKUP(A32,[3]III!$C$19:$E$61,3,0)</f>
        <v>10000</v>
      </c>
      <c r="F32" s="57"/>
      <c r="G32" s="44">
        <v>0</v>
      </c>
      <c r="H32" s="45">
        <f>VLOOKUP(A32,[5]III!$C$36:$E$59,3,0)</f>
        <v>0</v>
      </c>
      <c r="I32" s="45">
        <f>VLOOKUP(A32,[6]III!$C$36:$E$60,3,0)</f>
        <v>0</v>
      </c>
      <c r="J32" s="47">
        <f>VLOOKUP(A32,[7]III!$C$36:$E$63,3,0)</f>
        <v>0</v>
      </c>
      <c r="K32" s="57"/>
      <c r="L32" s="44">
        <v>0</v>
      </c>
      <c r="M32" s="45">
        <f>VLOOKUP(A32,[9]III!$C$36:$E$61,3,0)</f>
        <v>0</v>
      </c>
      <c r="N32" s="45">
        <f>VLOOKUP(A32,[10]III!$C$36:$E$61,3,0)</f>
        <v>0</v>
      </c>
      <c r="O32" s="47">
        <f>VLOOKUP(A32,[11]III!$C$36:$E$61,3,0)</f>
        <v>0</v>
      </c>
      <c r="P32" s="7"/>
      <c r="Q32" s="47">
        <v>0</v>
      </c>
      <c r="R32" s="47">
        <f>VLOOKUP(A32,[13]III!$C$36:$E$63,3,0)</f>
        <v>0</v>
      </c>
      <c r="S32" s="48">
        <f>VLOOKUP(A32,[14]III!$C$36:$E$64,3,0)</f>
        <v>0</v>
      </c>
      <c r="T32" s="74">
        <f>VLOOKUP(A32,[15]III!$C$36:$E$63,3,0)</f>
        <v>0</v>
      </c>
      <c r="U32" s="1"/>
      <c r="V32" s="46">
        <v>0</v>
      </c>
      <c r="W32" s="45">
        <f>VLOOKUP(A32,[17]III!$C$36:$E$63,3,0)</f>
        <v>0</v>
      </c>
      <c r="X32" s="48">
        <f>VLOOKUP(A32,[18]III!$C$36:$E$63,3,0)</f>
        <v>0</v>
      </c>
      <c r="Y32" s="74">
        <f>VLOOKUP(A32,[19]III!$C$37:$E$65,3,0)</f>
        <v>0</v>
      </c>
      <c r="AA32" s="46">
        <v>0</v>
      </c>
      <c r="AB32" s="45"/>
      <c r="AC32" s="48"/>
      <c r="AD32" s="74"/>
    </row>
    <row r="33" spans="1:30" ht="16.05" customHeight="1" x14ac:dyDescent="0.3">
      <c r="A33" s="38" t="s">
        <v>261</v>
      </c>
      <c r="B33" s="44"/>
      <c r="C33" s="45"/>
      <c r="D33" s="45"/>
      <c r="E33" s="47"/>
      <c r="F33" s="57"/>
      <c r="G33" s="44"/>
      <c r="H33" s="45"/>
      <c r="I33" s="45"/>
      <c r="J33" s="367">
        <f>VLOOKUP(A33,[7]III!$C$36:$E$63,3,0)</f>
        <v>12785</v>
      </c>
      <c r="K33" s="57"/>
      <c r="L33" s="44">
        <v>0</v>
      </c>
      <c r="M33" s="45">
        <v>0</v>
      </c>
      <c r="N33" s="45">
        <v>0</v>
      </c>
      <c r="O33" s="47">
        <v>0</v>
      </c>
      <c r="P33" s="7"/>
      <c r="Q33" s="47">
        <v>0</v>
      </c>
      <c r="R33" s="47">
        <f>VLOOKUP(A33,[13]III!$C$36:$E$63,3,0)</f>
        <v>0</v>
      </c>
      <c r="S33" s="48">
        <f>VLOOKUP(A33,[14]III!$C$36:$E$64,3,0)</f>
        <v>0</v>
      </c>
      <c r="T33" s="74">
        <f>VLOOKUP(A33,[15]III!$C$36:$E$63,3,0)</f>
        <v>0</v>
      </c>
      <c r="U33" s="1"/>
      <c r="V33" s="46">
        <f>VLOOKUP(A33,[16]III!$C$50:$E$63,3,0)</f>
        <v>0</v>
      </c>
      <c r="W33" s="45">
        <f>VLOOKUP(A33,[17]III!$C$36:$E$63,3,0)</f>
        <v>0</v>
      </c>
      <c r="X33" s="48">
        <f>VLOOKUP(A33,[18]III!$C$36:$E$63,3,0)</f>
        <v>0</v>
      </c>
      <c r="Y33" s="74">
        <f>VLOOKUP(A33,[19]III!$C$37:$E$65,3,0)</f>
        <v>0</v>
      </c>
      <c r="AA33" s="46">
        <v>0</v>
      </c>
      <c r="AB33" s="45"/>
      <c r="AC33" s="48"/>
      <c r="AD33" s="74"/>
    </row>
    <row r="34" spans="1:30" ht="16.05" customHeight="1" x14ac:dyDescent="0.3">
      <c r="A34" s="38" t="s">
        <v>250</v>
      </c>
      <c r="B34" s="44">
        <v>0</v>
      </c>
      <c r="C34" s="45"/>
      <c r="D34" s="45">
        <f>VLOOKUP(A34,[2]III!$C$36:$E$60,3,0)</f>
        <v>-211835</v>
      </c>
      <c r="E34" s="47">
        <f>VLOOKUP(A34,[3]III!$C$19:$E$61,3,0)</f>
        <v>-214074</v>
      </c>
      <c r="F34" s="57"/>
      <c r="G34" s="44">
        <v>0</v>
      </c>
      <c r="H34" s="45">
        <f>VLOOKUP(A34,[5]III!$C$36:$E$59,3,0)</f>
        <v>0</v>
      </c>
      <c r="I34" s="45">
        <f>VLOOKUP(A34,[6]III!$C$36:$E$60,3,0)</f>
        <v>0</v>
      </c>
      <c r="J34" s="47">
        <f>VLOOKUP(A34,[7]III!$C$36:$E$63,3,0)</f>
        <v>0</v>
      </c>
      <c r="K34" s="57"/>
      <c r="L34" s="44">
        <f>VLOOKUP(A34,[8]III!$C$51:$E$61,3,0)</f>
        <v>0</v>
      </c>
      <c r="M34" s="45">
        <f>VLOOKUP(A34,[9]III!$C$36:$E$61,3,0)</f>
        <v>0</v>
      </c>
      <c r="N34" s="45">
        <f>VLOOKUP(A34,[10]III!$C$36:$E$61,3,0)</f>
        <v>0</v>
      </c>
      <c r="O34" s="47">
        <f>VLOOKUP(A34,[11]III!$C$36:$E$61,3,0)</f>
        <v>0</v>
      </c>
      <c r="P34" s="7"/>
      <c r="Q34" s="47">
        <f>VLOOKUP(A34,[12]III!$C$50:$E$61,3,)</f>
        <v>0</v>
      </c>
      <c r="R34" s="47">
        <f>VLOOKUP(A34,[13]III!$C$36:$E$63,3,0)</f>
        <v>0</v>
      </c>
      <c r="S34" s="48">
        <f>VLOOKUP(A34,[14]III!$C$36:$E$64,3,0)</f>
        <v>0</v>
      </c>
      <c r="T34" s="74">
        <f>VLOOKUP(A34,[15]III!$C$36:$E$63,3,0)</f>
        <v>0</v>
      </c>
      <c r="U34" s="1"/>
      <c r="V34" s="46">
        <f>VLOOKUP(A34,[16]III!$C$50:$E$63,3,0)</f>
        <v>0</v>
      </c>
      <c r="W34" s="45">
        <f>VLOOKUP(A34,[17]III!$C$36:$E$63,3,0)</f>
        <v>0</v>
      </c>
      <c r="X34" s="48">
        <f>VLOOKUP(A34,[18]III!$C$36:$E$63,3,0)</f>
        <v>0</v>
      </c>
      <c r="Y34" s="74">
        <f>VLOOKUP(A34,[19]III!$C$37:$E$65,3,0)</f>
        <v>0</v>
      </c>
      <c r="AA34" s="46">
        <f>VLOOKUP(A34,[20]III!$C$54:$E$65,3,0)</f>
        <v>0</v>
      </c>
      <c r="AB34" s="45"/>
      <c r="AC34" s="48"/>
      <c r="AD34" s="74"/>
    </row>
    <row r="35" spans="1:30" ht="16.05" customHeight="1" x14ac:dyDescent="0.3">
      <c r="A35" s="38" t="s">
        <v>108</v>
      </c>
      <c r="B35" s="44">
        <v>0</v>
      </c>
      <c r="C35" s="45">
        <v>0</v>
      </c>
      <c r="D35" s="45">
        <v>0</v>
      </c>
      <c r="E35" s="47">
        <v>0</v>
      </c>
      <c r="F35" s="57"/>
      <c r="G35" s="44">
        <v>0</v>
      </c>
      <c r="H35" s="45">
        <v>0</v>
      </c>
      <c r="I35" s="45">
        <v>0</v>
      </c>
      <c r="J35" s="45">
        <v>0</v>
      </c>
      <c r="K35" s="57"/>
      <c r="L35" s="44">
        <v>0</v>
      </c>
      <c r="M35" s="45">
        <v>0</v>
      </c>
      <c r="N35" s="45">
        <v>0</v>
      </c>
      <c r="O35" s="47">
        <v>0</v>
      </c>
      <c r="P35" s="7"/>
      <c r="Q35" s="47">
        <v>0</v>
      </c>
      <c r="R35" s="47">
        <f>VLOOKUP(A35,[13]III!$C$36:$E$63,3,0)</f>
        <v>6400</v>
      </c>
      <c r="S35" s="48">
        <f>VLOOKUP(A35,[14]III!$C$36:$E$64,3,0)</f>
        <v>6400</v>
      </c>
      <c r="T35" s="74">
        <f>VLOOKUP(A35,[15]III!$C$36:$E$63,3,0)</f>
        <v>6400</v>
      </c>
      <c r="U35" s="1"/>
      <c r="V35" s="46">
        <v>0</v>
      </c>
      <c r="W35" s="45">
        <v>0</v>
      </c>
      <c r="X35" s="48">
        <v>0</v>
      </c>
      <c r="Y35" s="74">
        <v>0</v>
      </c>
      <c r="AA35" s="46">
        <v>0</v>
      </c>
      <c r="AB35" s="45"/>
      <c r="AC35" s="48"/>
      <c r="AD35" s="74"/>
    </row>
    <row r="36" spans="1:30" ht="16.05" customHeight="1" x14ac:dyDescent="0.3">
      <c r="A36" s="38" t="s">
        <v>109</v>
      </c>
      <c r="B36" s="44">
        <v>0</v>
      </c>
      <c r="C36" s="45">
        <v>0</v>
      </c>
      <c r="D36" s="45">
        <v>0</v>
      </c>
      <c r="E36" s="47">
        <v>0</v>
      </c>
      <c r="F36" s="57"/>
      <c r="G36" s="44">
        <v>0</v>
      </c>
      <c r="H36" s="45">
        <v>0</v>
      </c>
      <c r="I36" s="45">
        <v>0</v>
      </c>
      <c r="J36" s="45">
        <v>0</v>
      </c>
      <c r="K36" s="57"/>
      <c r="L36" s="44">
        <v>0</v>
      </c>
      <c r="M36" s="45">
        <v>0</v>
      </c>
      <c r="N36" s="45">
        <f>VLOOKUP(A36,[10]III!$C$36:$E$61,3,0)</f>
        <v>-900</v>
      </c>
      <c r="O36" s="47">
        <f>VLOOKUP(A36,[11]III!$C$36:$E$61,3,0)</f>
        <v>-900</v>
      </c>
      <c r="P36" s="7"/>
      <c r="Q36" s="47">
        <f>VLOOKUP(A36,[12]III!$C$50:$E$61,3,)</f>
        <v>0</v>
      </c>
      <c r="R36" s="47">
        <f>VLOOKUP(A36,[13]III!$C$36:$E$63,3,0)</f>
        <v>-900</v>
      </c>
      <c r="S36" s="48">
        <f>VLOOKUP(A36,[14]III!$C$36:$E$64,3,0)</f>
        <v>-900</v>
      </c>
      <c r="T36" s="74">
        <f>VLOOKUP(A36,[15]III!$C$36:$E$63,3,0)</f>
        <v>-900</v>
      </c>
      <c r="U36" s="1"/>
      <c r="V36" s="46">
        <f>VLOOKUP(A36,[16]III!$C$50:$E$63,3,0)</f>
        <v>0</v>
      </c>
      <c r="W36" s="45">
        <f>VLOOKUP(A36,[17]III!$C$36:$E$63,3,0)</f>
        <v>0</v>
      </c>
      <c r="X36" s="48">
        <f>VLOOKUP(A36,[18]III!$C$36:$E$63,3,0)</f>
        <v>0</v>
      </c>
      <c r="Y36" s="74">
        <f>VLOOKUP(A36,[19]III!$C$37:$E$65,3,0)</f>
        <v>-1725</v>
      </c>
      <c r="AA36" s="46">
        <f>VLOOKUP(A36,[20]III!$C$54:$E$65,3,0)</f>
        <v>0</v>
      </c>
      <c r="AB36" s="45"/>
      <c r="AC36" s="48"/>
      <c r="AD36" s="74"/>
    </row>
    <row r="37" spans="1:30" ht="16.05" customHeight="1" x14ac:dyDescent="0.3">
      <c r="A37" s="38" t="s">
        <v>110</v>
      </c>
      <c r="B37" s="44">
        <v>0</v>
      </c>
      <c r="C37" s="45">
        <f>VLOOKUP(A37,[1]III!$C$36:$E$60,3,0)</f>
        <v>0</v>
      </c>
      <c r="D37" s="45">
        <f>VLOOKUP(A37,[2]III!$C$36:$E$60,3,0)</f>
        <v>-45000</v>
      </c>
      <c r="E37" s="47">
        <f>VLOOKUP(A37,[3]III!$C$19:$E$61,3,0)</f>
        <v>-45000</v>
      </c>
      <c r="F37" s="57"/>
      <c r="G37" s="44">
        <v>0</v>
      </c>
      <c r="H37" s="45">
        <v>0</v>
      </c>
      <c r="I37" s="45">
        <f>VLOOKUP(A37,[6]III!$C$36:$E$60,3,0)</f>
        <v>-27308</v>
      </c>
      <c r="J37" s="47">
        <f>VLOOKUP(A37,[7]III!$C$36:$E$63,3,0)</f>
        <v>-28300</v>
      </c>
      <c r="K37" s="57"/>
      <c r="L37" s="44">
        <f>VLOOKUP(A37,[8]III!$C$51:$E$61,3,0)</f>
        <v>-180155</v>
      </c>
      <c r="M37" s="366">
        <f>VLOOKUP(A37,[9]III!$C$36:$E$61,3,0)</f>
        <v>-198918</v>
      </c>
      <c r="N37" s="45">
        <f>VLOOKUP(A37,[10]III!$C$36:$E$61,3,0)</f>
        <v>-198918</v>
      </c>
      <c r="O37" s="47">
        <f>VLOOKUP(A37,[11]III!$C$36:$E$61,3,0)</f>
        <v>-546118</v>
      </c>
      <c r="P37" s="7"/>
      <c r="Q37" s="47">
        <f>VLOOKUP(A37,[12]III!$C$50:$E$61,3,)</f>
        <v>-32000</v>
      </c>
      <c r="R37" s="47">
        <f>VLOOKUP(A37,[13]III!$C$36:$E$63,3,0)</f>
        <v>-32000</v>
      </c>
      <c r="S37" s="48">
        <f>VLOOKUP(A37,[14]III!$C$36:$E$64,3,0)</f>
        <v>-70414</v>
      </c>
      <c r="T37" s="74">
        <f>VLOOKUP(A37,[15]III!$C$36:$E$63,3,0)</f>
        <v>-80892</v>
      </c>
      <c r="U37" s="1"/>
      <c r="V37" s="46">
        <f>VLOOKUP(A37,[16]III!$C$50:$E$63,3,0)</f>
        <v>-39596</v>
      </c>
      <c r="W37" s="45">
        <f>VLOOKUP(A37,[17]III!$C$36:$E$63,3,0)</f>
        <v>-55096</v>
      </c>
      <c r="X37" s="48">
        <f>VLOOKUP(A37,[18]III!$C$36:$E$63,3,0)</f>
        <v>-23534</v>
      </c>
      <c r="Y37" s="74">
        <f>VLOOKUP(A37,[19]III!$C$37:$E$65,3,0)</f>
        <v>-33742</v>
      </c>
      <c r="AA37" s="46">
        <f>VLOOKUP(A37,[20]III!$C$54:$E$65,3,0)</f>
        <v>-179371</v>
      </c>
      <c r="AB37" s="45"/>
      <c r="AC37" s="48"/>
      <c r="AD37" s="74"/>
    </row>
    <row r="38" spans="1:30" ht="16.05" customHeight="1" x14ac:dyDescent="0.3">
      <c r="A38" s="38" t="s">
        <v>257</v>
      </c>
      <c r="B38" s="44"/>
      <c r="C38" s="45"/>
      <c r="D38" s="45"/>
      <c r="E38" s="47"/>
      <c r="F38" s="57"/>
      <c r="G38" s="44"/>
      <c r="H38" s="45"/>
      <c r="I38" s="45">
        <f>VLOOKUP(A38,[6]III!$C$36:$E$60,3,0)</f>
        <v>-5000</v>
      </c>
      <c r="J38" s="47">
        <f>VLOOKUP(A38,[7]III!$C$36:$E$63,3,0)</f>
        <v>-5000</v>
      </c>
      <c r="K38" s="57"/>
      <c r="L38" s="44">
        <f>VLOOKUP(A38,[8]III!$C$51:$E$61,3,0)</f>
        <v>0</v>
      </c>
      <c r="M38" s="45">
        <f>VLOOKUP(A38,[9]III!$C$36:$E$61,3,0)</f>
        <v>0</v>
      </c>
      <c r="N38" s="45">
        <f>VLOOKUP(A38,[10]III!$C$36:$E$61,3,0)</f>
        <v>0</v>
      </c>
      <c r="O38" s="47">
        <f>VLOOKUP(A38,[11]III!$C$36:$E$61,3,0)</f>
        <v>0</v>
      </c>
      <c r="P38" s="7"/>
      <c r="Q38" s="47">
        <f>VLOOKUP(A38,[12]III!$C$50:$E$61,3,)</f>
        <v>0</v>
      </c>
      <c r="R38" s="47">
        <f>VLOOKUP(A38,[13]III!$C$36:$E$63,3,0)</f>
        <v>0</v>
      </c>
      <c r="S38" s="48">
        <f>VLOOKUP(A38,[14]III!$C$36:$E$64,3,0)</f>
        <v>0</v>
      </c>
      <c r="T38" s="74">
        <f>VLOOKUP(A38,[15]III!$C$36:$E$63,3,0)</f>
        <v>0</v>
      </c>
      <c r="U38" s="7"/>
      <c r="V38" s="46">
        <f>VLOOKUP(A38,[16]III!$C$50:$E$63,3,0)</f>
        <v>0</v>
      </c>
      <c r="W38" s="45">
        <f>VLOOKUP(A38,[17]III!$C$36:$E$63,3,0)</f>
        <v>0</v>
      </c>
      <c r="X38" s="48">
        <f>VLOOKUP(A38,[18]III!$C$36:$E$63,3,0)</f>
        <v>0</v>
      </c>
      <c r="Y38" s="74">
        <f>VLOOKUP(A38,[19]III!$C$37:$E$65,3,0)</f>
        <v>0</v>
      </c>
      <c r="AA38" s="46">
        <f>VLOOKUP(A38,[20]III!$C$54:$E$65,3,0)</f>
        <v>0</v>
      </c>
      <c r="AB38" s="45"/>
      <c r="AC38" s="48"/>
      <c r="AD38" s="74"/>
    </row>
    <row r="39" spans="1:30" ht="16.05" customHeight="1" x14ac:dyDescent="0.3">
      <c r="A39" s="38" t="s">
        <v>253</v>
      </c>
      <c r="B39" s="44">
        <v>-300000</v>
      </c>
      <c r="C39" s="45"/>
      <c r="D39" s="45"/>
      <c r="E39" s="47">
        <f>VLOOKUP(A39,[3]III!$C$19:$E$61,3,0)</f>
        <v>51300</v>
      </c>
      <c r="F39" s="57"/>
      <c r="G39" s="44">
        <v>0</v>
      </c>
      <c r="H39" s="45">
        <f>VLOOKUP(A39,[5]III!$C$36:$E$59,3,0)</f>
        <v>-596000</v>
      </c>
      <c r="I39" s="45">
        <v>0</v>
      </c>
      <c r="J39" s="45">
        <f>VLOOKUP(A39,[7]III!$C$36:$E$63,3,0)</f>
        <v>-209421</v>
      </c>
      <c r="K39" s="57"/>
      <c r="L39" s="44">
        <f>VLOOKUP(A39,[8]III!$C$51:$E$61,3,0)</f>
        <v>-273971</v>
      </c>
      <c r="M39" s="45">
        <f>VLOOKUP(A39,[9]III!$C$36:$E$61,3,0)</f>
        <v>65029</v>
      </c>
      <c r="N39" s="45">
        <f>VLOOKUP(A39,[10]III!$C$36:$E$61,3,0)</f>
        <v>-84971</v>
      </c>
      <c r="O39" s="47">
        <f>VLOOKUP(A39,[11]III!$C$36:$E$61,3,0)</f>
        <v>216736</v>
      </c>
      <c r="P39" s="7"/>
      <c r="Q39" s="47">
        <f>VLOOKUP(A39,[12]III!$C$50:$E$61,3,)</f>
        <v>0</v>
      </c>
      <c r="R39" s="47">
        <v>0</v>
      </c>
      <c r="S39" s="48">
        <v>0</v>
      </c>
      <c r="T39" s="74">
        <v>0</v>
      </c>
      <c r="U39" s="242"/>
      <c r="V39" s="46">
        <v>0</v>
      </c>
      <c r="W39" s="45">
        <v>0</v>
      </c>
      <c r="X39" s="48">
        <v>0</v>
      </c>
      <c r="Y39" s="74">
        <v>0</v>
      </c>
      <c r="AA39" s="46">
        <f>VLOOKUP(A39,[20]III!$C$54:$E$65,3,0)</f>
        <v>93183</v>
      </c>
      <c r="AB39" s="45"/>
      <c r="AC39" s="48"/>
      <c r="AD39" s="74"/>
    </row>
    <row r="40" spans="1:30" ht="16.05" customHeight="1" x14ac:dyDescent="0.3">
      <c r="A40" s="38" t="s">
        <v>111</v>
      </c>
      <c r="B40" s="44">
        <v>0</v>
      </c>
      <c r="C40" s="45">
        <v>0</v>
      </c>
      <c r="D40" s="45">
        <v>0</v>
      </c>
      <c r="E40" s="47">
        <v>0</v>
      </c>
      <c r="F40" s="57"/>
      <c r="G40" s="44">
        <v>0</v>
      </c>
      <c r="H40" s="45">
        <v>0</v>
      </c>
      <c r="I40" s="45">
        <v>0</v>
      </c>
      <c r="J40" s="45">
        <v>0</v>
      </c>
      <c r="K40" s="57"/>
      <c r="L40" s="44">
        <v>0</v>
      </c>
      <c r="M40" s="45">
        <v>0</v>
      </c>
      <c r="N40" s="45">
        <v>0</v>
      </c>
      <c r="O40" s="47">
        <v>0</v>
      </c>
      <c r="P40" s="7"/>
      <c r="Q40" s="47">
        <v>0</v>
      </c>
      <c r="R40" s="47">
        <f>VLOOKUP(A40,[13]III!$C$36:$E$63,3,0)</f>
        <v>137</v>
      </c>
      <c r="S40" s="48">
        <f>VLOOKUP(A40,[14]III!$C$36:$E$64,3,0)</f>
        <v>5138</v>
      </c>
      <c r="T40" s="74">
        <f>VLOOKUP(A40,[15]III!$C$36:$E$63,3,0)</f>
        <v>-40000</v>
      </c>
      <c r="U40" s="1"/>
      <c r="V40" s="46">
        <f>VLOOKUP(A40,[16]III!$C$50:$E$63,3,0)</f>
        <v>-112000</v>
      </c>
      <c r="W40" s="45">
        <f>VLOOKUP(A40,[17]III!$C$36:$E$63,3,0)</f>
        <v>71830</v>
      </c>
      <c r="X40" s="48">
        <f>VLOOKUP(A40,[18]III!$C$36:$E$63,3,0)</f>
        <v>73373</v>
      </c>
      <c r="Y40" s="74">
        <f>VLOOKUP(A40,[19]III!$C$37:$E$65,3,0)</f>
        <v>-15977</v>
      </c>
      <c r="AA40" s="46">
        <v>0</v>
      </c>
      <c r="AB40" s="45"/>
      <c r="AC40" s="48"/>
      <c r="AD40" s="74"/>
    </row>
    <row r="41" spans="1:30" ht="16.05" customHeight="1" x14ac:dyDescent="0.3">
      <c r="A41" s="383" t="s">
        <v>67</v>
      </c>
      <c r="B41" s="381">
        <v>-316937</v>
      </c>
      <c r="C41" s="381">
        <f>SUM(C17:C40)</f>
        <v>-168293</v>
      </c>
      <c r="D41" s="381">
        <f>SUM(D17:D40)</f>
        <v>-213564</v>
      </c>
      <c r="E41" s="381">
        <f>SUM(E17:E40)</f>
        <v>-219691</v>
      </c>
      <c r="F41" s="60"/>
      <c r="G41" s="381">
        <f>SUM(G17:G40)</f>
        <v>-37005</v>
      </c>
      <c r="H41" s="381">
        <f>SUM(H17:H40)</f>
        <v>-661854</v>
      </c>
      <c r="I41" s="381">
        <f>SUM(I17:I40)</f>
        <v>-560467</v>
      </c>
      <c r="J41" s="381">
        <f>SUM(J17:J40)</f>
        <v>-296980</v>
      </c>
      <c r="K41" s="60"/>
      <c r="L41" s="381">
        <f>SUM(L17:L40)</f>
        <v>-462671</v>
      </c>
      <c r="M41" s="381">
        <f>SUM(M17:M40)</f>
        <v>1975</v>
      </c>
      <c r="N41" s="381">
        <f>SUM(N17:N40)</f>
        <v>-81125</v>
      </c>
      <c r="O41" s="381">
        <f>SUM(O17:O40)</f>
        <v>-99569</v>
      </c>
      <c r="P41" s="7"/>
      <c r="Q41" s="381">
        <f>SUM(Q16:Q40)</f>
        <v>-33604</v>
      </c>
      <c r="R41" s="381">
        <f>SUM(R16:R40)</f>
        <v>-2668</v>
      </c>
      <c r="S41" s="381">
        <f>SUM(S16:S40)</f>
        <v>-30572</v>
      </c>
      <c r="T41" s="382">
        <f>SUM(T16:T40)</f>
        <v>-99413</v>
      </c>
      <c r="U41" s="1"/>
      <c r="V41" s="380">
        <f>SUM(V16:V40)</f>
        <v>-151596</v>
      </c>
      <c r="W41" s="381">
        <f>SUM(W16:W40)</f>
        <v>21207</v>
      </c>
      <c r="X41" s="381">
        <f>SUM(X16:X40)</f>
        <v>81647</v>
      </c>
      <c r="Y41" s="382">
        <f>SUM(Y16:Y40)</f>
        <v>-5735</v>
      </c>
      <c r="AA41" s="380">
        <f>SUM(AA16:AA40)</f>
        <v>-86191</v>
      </c>
      <c r="AB41" s="381">
        <f>SUM(AB16:AB40)</f>
        <v>0</v>
      </c>
      <c r="AC41" s="381">
        <f>SUM(AC16:AC40)</f>
        <v>0</v>
      </c>
      <c r="AD41" s="382">
        <f>SUM(AD16:AD40)</f>
        <v>0</v>
      </c>
    </row>
    <row r="42" spans="1:30" ht="16.05" customHeight="1" x14ac:dyDescent="0.3">
      <c r="A42" s="39"/>
      <c r="B42" s="41"/>
      <c r="C42" s="42"/>
      <c r="D42" s="42"/>
      <c r="E42" s="1"/>
      <c r="F42" s="58"/>
      <c r="G42" s="41"/>
      <c r="H42" s="42"/>
      <c r="I42" s="42"/>
      <c r="J42" s="1"/>
      <c r="K42" s="58"/>
      <c r="L42" s="41"/>
      <c r="M42" s="42"/>
      <c r="N42" s="42"/>
      <c r="O42" s="4"/>
      <c r="P42" s="7"/>
      <c r="Q42" s="1"/>
      <c r="R42" s="1"/>
      <c r="S42" s="13"/>
      <c r="T42" s="75" t="s">
        <v>29</v>
      </c>
      <c r="U42" s="1"/>
      <c r="V42" s="43"/>
      <c r="W42" s="1"/>
      <c r="X42" s="13"/>
      <c r="Y42" s="77"/>
      <c r="AA42" s="43"/>
      <c r="AB42" s="1"/>
      <c r="AC42" s="13"/>
      <c r="AD42" s="77"/>
    </row>
    <row r="43" spans="1:30" ht="16.05" customHeight="1" x14ac:dyDescent="0.3">
      <c r="A43" s="37" t="s">
        <v>68</v>
      </c>
      <c r="B43" s="41"/>
      <c r="C43" s="42"/>
      <c r="D43" s="42"/>
      <c r="E43" s="1"/>
      <c r="F43" s="56"/>
      <c r="G43" s="41"/>
      <c r="H43" s="42"/>
      <c r="I43" s="42"/>
      <c r="J43" s="1"/>
      <c r="K43" s="56"/>
      <c r="L43" s="41"/>
      <c r="M43" s="42"/>
      <c r="N43" s="42"/>
      <c r="O43" s="4"/>
      <c r="P43" s="7"/>
      <c r="Q43" s="1"/>
      <c r="R43" s="1"/>
      <c r="S43" s="13"/>
      <c r="T43" s="75"/>
      <c r="U43" s="1"/>
      <c r="V43" s="43"/>
      <c r="W43" s="1"/>
      <c r="X43" s="13"/>
      <c r="Y43" s="78"/>
      <c r="AA43" s="43"/>
      <c r="AB43" s="1"/>
      <c r="AC43" s="13"/>
      <c r="AD43" s="78"/>
    </row>
    <row r="44" spans="1:30" ht="16.05" customHeight="1" x14ac:dyDescent="0.3">
      <c r="A44" s="38" t="s">
        <v>112</v>
      </c>
      <c r="B44" s="45">
        <v>225334</v>
      </c>
      <c r="C44" s="45">
        <f>VLOOKUP(A44,[1]III!$C$80:$E$94,3,0)</f>
        <v>556384</v>
      </c>
      <c r="D44" s="45">
        <f>VLOOKUP(A44,[2]III!$C$80:$E$93,3,0)</f>
        <v>752692</v>
      </c>
      <c r="E44" s="45">
        <f>VLOOKUP(A44,[3]III!$C$80:$E$94,3,0)</f>
        <v>990502</v>
      </c>
      <c r="F44" s="57"/>
      <c r="G44" s="44">
        <f>VLOOKUP(A44,[4]III!$C$80:$E$93,3,0)</f>
        <v>137628</v>
      </c>
      <c r="H44" s="45">
        <f>VLOOKUP(A44,[5]III!$C$80:$E$93,3,0)</f>
        <v>315505</v>
      </c>
      <c r="I44" s="45">
        <f>VLOOKUP(A44,[6]III!$C$81:$E$96,3,0)</f>
        <v>401456</v>
      </c>
      <c r="J44" s="45">
        <f>VLOOKUP(A44,[7]III!$C$82:$E$98,3,0)</f>
        <v>537784</v>
      </c>
      <c r="K44" s="57"/>
      <c r="L44" s="44">
        <f>VLOOKUP(A44,[8]III!$C$82:$E$97,3,0)</f>
        <v>63110</v>
      </c>
      <c r="M44" s="45">
        <f>VLOOKUP(A44,[9]III!$C$82:$E$97,3,0)</f>
        <v>74822</v>
      </c>
      <c r="N44" s="45">
        <f>VLOOKUP(A44,[10]III!$C$82:$E$97,3,0)</f>
        <v>79248</v>
      </c>
      <c r="O44" s="4">
        <f>VLOOKUP(A44,[11]III!$C$82:$E$97,3,0)</f>
        <v>484696</v>
      </c>
      <c r="P44" s="7"/>
      <c r="Q44" s="4">
        <f>VLOOKUP(A44,[12]III!$C$82:$E$97,3,0)</f>
        <v>148209</v>
      </c>
      <c r="R44" s="4">
        <f>VLOOKUP(A44,[13]III!$C$84:$E$99,3,0)</f>
        <v>543170</v>
      </c>
      <c r="S44" s="8">
        <f>VLOOKUP(A44,[14]III!$C$85:$E$100,3,0)</f>
        <v>896126</v>
      </c>
      <c r="T44" s="302">
        <f>VLOOKUP(A44,[15]III!$C$84:$E$99,3,0)</f>
        <v>1502019</v>
      </c>
      <c r="U44" s="1"/>
      <c r="V44" s="304">
        <f>VLOOKUP(A44,[16]III!$C$84:$E$99,3,0)</f>
        <v>120961</v>
      </c>
      <c r="W44" s="4">
        <f>VLOOKUP(A44,[17]III!$C$84:$E$99,3,0)</f>
        <v>522077</v>
      </c>
      <c r="X44" s="8">
        <f>VLOOKUP(A44,[18]III!$C$84:$E$99,3,0)</f>
        <v>861537</v>
      </c>
      <c r="Y44" s="306">
        <f>VLOOKUP(A44,[19]III!$C$86:$E$101,3,0)</f>
        <v>921308</v>
      </c>
      <c r="AA44" s="304">
        <f>VLOOKUP(A44,[20]III!$C$86:$E$101,3,0)</f>
        <v>69219</v>
      </c>
      <c r="AB44" s="4"/>
      <c r="AC44" s="8"/>
      <c r="AD44" s="306"/>
    </row>
    <row r="45" spans="1:30" ht="16.05" customHeight="1" x14ac:dyDescent="0.3">
      <c r="A45" s="38" t="s">
        <v>238</v>
      </c>
      <c r="B45" s="45">
        <v>300000</v>
      </c>
      <c r="C45" s="45">
        <f>VLOOKUP(A45,[1]III!$C$80:$E$94,3,0)</f>
        <v>300000</v>
      </c>
      <c r="D45" s="45">
        <f>VLOOKUP(A45,[2]III!$C$80:$E$93,3,0)</f>
        <v>300000</v>
      </c>
      <c r="E45" s="45">
        <f>VLOOKUP(A45,[3]III!$C$80:$E$94,3,0)</f>
        <v>300000</v>
      </c>
      <c r="F45" s="57"/>
      <c r="G45" s="44">
        <f>VLOOKUP(A45,[4]III!$C$80:$E$93,3,0)</f>
        <v>0</v>
      </c>
      <c r="H45" s="45">
        <f>VLOOKUP(A45,[5]III!$C$80:$E$93,3,0)</f>
        <v>855000</v>
      </c>
      <c r="I45" s="45">
        <f>VLOOKUP(A45,[6]III!$C$81:$E$96,3,0)</f>
        <v>1205000</v>
      </c>
      <c r="J45" s="45">
        <f>VLOOKUP(A45,[7]III!$C$82:$E$98,3,0)</f>
        <v>1205000</v>
      </c>
      <c r="K45" s="57"/>
      <c r="L45" s="44">
        <f>VLOOKUP(A45,[8]III!$C$82:$E$97,3,0)</f>
        <v>400000</v>
      </c>
      <c r="M45" s="45">
        <f>VLOOKUP(A45,[9]III!$C$82:$E$97,3,0)</f>
        <v>700000</v>
      </c>
      <c r="N45" s="45">
        <f>VLOOKUP(A45,[10]III!$C$82:$E$97,3,0)</f>
        <v>1140000</v>
      </c>
      <c r="O45" s="4">
        <f>VLOOKUP(A45,[11]III!$C$82:$E$97,3,0)</f>
        <v>1140000</v>
      </c>
      <c r="P45" s="7"/>
      <c r="Q45" s="4">
        <f>VLOOKUP(A45,[12]III!$C$82:$E$97,3,0)</f>
        <v>50000</v>
      </c>
      <c r="R45" s="4">
        <f>VLOOKUP(A45,[13]III!$C$84:$E$99,3,0)</f>
        <v>260000</v>
      </c>
      <c r="S45" s="8">
        <f>VLOOKUP(A45,[14]III!$C$85:$E$100,3,0)</f>
        <v>555000</v>
      </c>
      <c r="T45" s="302">
        <f>VLOOKUP(A45,[15]III!$C$84:$E$99,3,0)</f>
        <v>675000</v>
      </c>
      <c r="U45" s="1"/>
      <c r="V45" s="304">
        <v>0</v>
      </c>
      <c r="W45" s="4">
        <f>VLOOKUP(A45,[17]III!$C$84:$E$99,3,0)</f>
        <v>1345000</v>
      </c>
      <c r="X45" s="8">
        <f>VLOOKUP(A45,[18]III!$C$84:$E$99,3,0)</f>
        <v>1345000</v>
      </c>
      <c r="Y45" s="306">
        <f>VLOOKUP(A45,[19]III!$C$86:$E$101,3,0)</f>
        <v>1695000</v>
      </c>
      <c r="AA45" s="304">
        <f>VLOOKUP(A45,[20]III!$C$86:$E$101,3,0)</f>
        <v>500000</v>
      </c>
      <c r="AB45" s="4"/>
      <c r="AC45" s="8"/>
      <c r="AD45" s="306"/>
    </row>
    <row r="46" spans="1:30" ht="16.05" customHeight="1" x14ac:dyDescent="0.3">
      <c r="A46" s="38" t="s">
        <v>256</v>
      </c>
      <c r="B46" s="45"/>
      <c r="C46" s="45"/>
      <c r="D46" s="45"/>
      <c r="E46" s="45"/>
      <c r="F46" s="57"/>
      <c r="G46" s="44">
        <v>0</v>
      </c>
      <c r="H46" s="45">
        <f>VLOOKUP(A46,[5]III!$C$80:$E$93,3,0)</f>
        <v>-150000</v>
      </c>
      <c r="I46" s="45">
        <f>VLOOKUP(A46,[6]III!$C$81:$E$96,3,0)</f>
        <v>-150000</v>
      </c>
      <c r="J46" s="45">
        <f>VLOOKUP(A46,[7]III!$C$82:$E$98,3,0)</f>
        <v>-150000</v>
      </c>
      <c r="K46" s="57"/>
      <c r="L46" s="44">
        <v>0</v>
      </c>
      <c r="M46" s="45">
        <f>VLOOKUP(A46,[9]III!$C$82:$E$97,3,0)</f>
        <v>0</v>
      </c>
      <c r="N46" s="45">
        <f>VLOOKUP(A46,[10]III!$C$82:$E$97,3,0)</f>
        <v>0</v>
      </c>
      <c r="O46" s="4">
        <f>VLOOKUP(A46,[11]III!$C$82:$E$97,3,0)</f>
        <v>0</v>
      </c>
      <c r="P46" s="7"/>
      <c r="Q46" s="4">
        <f>VLOOKUP(A46,[12]III!$C$82:$E$97,3,0)</f>
        <v>0</v>
      </c>
      <c r="R46" s="4">
        <f>VLOOKUP(A46,[13]III!$C$84:$E$99,3,0)</f>
        <v>0</v>
      </c>
      <c r="S46" s="8">
        <f>VLOOKUP(A46,[14]III!$C$85:$E$100,3,0)</f>
        <v>0</v>
      </c>
      <c r="T46" s="302">
        <f>VLOOKUP(A46,[15]III!$C$84:$E$99,3,0)</f>
        <v>0</v>
      </c>
      <c r="U46" s="1"/>
      <c r="V46" s="304">
        <f>VLOOKUP(A46,[16]III!$C$84:$E$99,3,0)</f>
        <v>420000</v>
      </c>
      <c r="W46" s="4">
        <f>VLOOKUP(A46,[17]III!$C$84:$E$99,3,0)</f>
        <v>0</v>
      </c>
      <c r="X46" s="8">
        <f>VLOOKUP(A46,[18]III!$C$84:$E$99,3,0)</f>
        <v>0</v>
      </c>
      <c r="Y46" s="306">
        <f>VLOOKUP(A46,[19]III!$C$86:$E$101,3,0)</f>
        <v>0</v>
      </c>
      <c r="AA46" s="304">
        <f>VLOOKUP(A46,[20]III!$C$86:$E$101,3,0)</f>
        <v>0</v>
      </c>
      <c r="AB46" s="4"/>
      <c r="AC46" s="8"/>
      <c r="AD46" s="306"/>
    </row>
    <row r="47" spans="1:30" ht="16.05" customHeight="1" x14ac:dyDescent="0.3">
      <c r="A47" s="38" t="s">
        <v>113</v>
      </c>
      <c r="B47" s="45">
        <v>-704453</v>
      </c>
      <c r="C47" s="45">
        <f>VLOOKUP(A47,[1]III!$C$80:$E$94,3,0)</f>
        <v>-1270821</v>
      </c>
      <c r="D47" s="45">
        <f>VLOOKUP(A47,[2]III!$C$80:$E$93,3,0)</f>
        <v>-1658281</v>
      </c>
      <c r="E47" s="45">
        <f>VLOOKUP(A47,[3]III!$C$80:$E$94,3,0)</f>
        <v>-2252115</v>
      </c>
      <c r="F47" s="57"/>
      <c r="G47" s="44">
        <f>VLOOKUP(A47,[4]III!$C$80:$E$93,3,0)</f>
        <v>-95996</v>
      </c>
      <c r="H47" s="45">
        <f>VLOOKUP(A47,[5]III!$C$80:$E$93,3,0)</f>
        <v>-168870</v>
      </c>
      <c r="I47" s="45">
        <f>VLOOKUP(A47,[6]III!$C$81:$E$96,3,0)</f>
        <v>-323641</v>
      </c>
      <c r="J47" s="45">
        <f>VLOOKUP(A47,[7]III!$C$82:$E$98,3,0)</f>
        <v>-435637</v>
      </c>
      <c r="K47" s="57"/>
      <c r="L47" s="44">
        <f>VLOOKUP(A47,[8]III!$C$82:$E$97,3,0)</f>
        <v>-48863</v>
      </c>
      <c r="M47" s="45">
        <f>VLOOKUP(A47,[9]III!$C$82:$E$97,3,0)</f>
        <v>-161257</v>
      </c>
      <c r="N47" s="45">
        <f>VLOOKUP(A47,[10]III!$C$82:$E$97,3,0)</f>
        <v>-651422</v>
      </c>
      <c r="O47" s="4">
        <f>VLOOKUP(A47,[11]III!$C$82:$E$97,3,0)</f>
        <v>-721853</v>
      </c>
      <c r="P47" s="7"/>
      <c r="Q47" s="4">
        <f>VLOOKUP(A47,[12]III!$C$82:$E$97,3,0)</f>
        <v>-194182</v>
      </c>
      <c r="R47" s="4">
        <f>VLOOKUP(A47,[13]III!$C$84:$E$99,3,0)</f>
        <v>-507862</v>
      </c>
      <c r="S47" s="8">
        <f>VLOOKUP(A47,[14]III!$C$85:$E$100,3,0)</f>
        <v>-1142319</v>
      </c>
      <c r="T47" s="302">
        <f>VLOOKUP(A47,[15]III!$C$84:$E$99,3,0)</f>
        <v>-1609972</v>
      </c>
      <c r="U47" s="1"/>
      <c r="V47" s="304">
        <f>VLOOKUP(A47,[16]III!$C$84:$E$99,3,0)</f>
        <v>-461033</v>
      </c>
      <c r="W47" s="4">
        <f>VLOOKUP(A47,[17]III!$C$84:$E$99,3,0)</f>
        <v>-1518230</v>
      </c>
      <c r="X47" s="8">
        <f>VLOOKUP(A47,[18]III!$C$84:$E$99,3,0)</f>
        <v>-1280181</v>
      </c>
      <c r="Y47" s="306">
        <f>VLOOKUP(A47,[19]III!$C$86:$E$101,3,0)</f>
        <v>-1265334</v>
      </c>
      <c r="AA47" s="304">
        <f>VLOOKUP(A47,[20]III!$C$86:$E$101,3,0)</f>
        <v>-17976</v>
      </c>
      <c r="AB47" s="4"/>
      <c r="AC47" s="8"/>
      <c r="AD47" s="306"/>
    </row>
    <row r="48" spans="1:30" ht="16.05" customHeight="1" x14ac:dyDescent="0.3">
      <c r="A48" s="38" t="s">
        <v>114</v>
      </c>
      <c r="B48" s="45">
        <v>0</v>
      </c>
      <c r="C48" s="45">
        <f>VLOOKUP(A48,[1]III!$C$80:$E$94,3,0)</f>
        <v>-300000</v>
      </c>
      <c r="D48" s="45">
        <f>VLOOKUP(A48,[2]III!$C$80:$E$93,3,0)</f>
        <v>-300000</v>
      </c>
      <c r="E48" s="45">
        <f>VLOOKUP(A48,[3]III!$C$80:$E$94,3,0)</f>
        <v>-300000</v>
      </c>
      <c r="F48" s="57"/>
      <c r="G48" s="44">
        <f>VLOOKUP(A48,[4]III!$C$80:$E$93,3,0)</f>
        <v>0</v>
      </c>
      <c r="H48" s="45">
        <f>VLOOKUP(A48,[5]III!$C$80:$E$93,3,0)</f>
        <v>-150000</v>
      </c>
      <c r="I48" s="45">
        <f>VLOOKUP(A48,[6]III!$C$81:$E$96,3,0)</f>
        <v>-150000</v>
      </c>
      <c r="J48" s="45">
        <f>VLOOKUP(A48,[7]III!$C$82:$E$98,3,0)</f>
        <v>-550000</v>
      </c>
      <c r="K48" s="57"/>
      <c r="L48" s="44">
        <f>VLOOKUP(A48,[8]III!$C$82:$E$97,3,0)</f>
        <v>0</v>
      </c>
      <c r="M48" s="45">
        <f>VLOOKUP(A48,[9]III!$C$82:$E$97,3,0)</f>
        <v>-435000</v>
      </c>
      <c r="N48" s="45">
        <f>VLOOKUP(A48,[10]III!$C$82:$E$97,3,0)</f>
        <v>-435000</v>
      </c>
      <c r="O48" s="4">
        <f>VLOOKUP(A48,[11]III!$C$82:$E$97,3,0)</f>
        <v>-785000</v>
      </c>
      <c r="P48" s="7"/>
      <c r="Q48" s="4">
        <f>VLOOKUP(A48,[12]III!$C$82:$E$97,3,0)</f>
        <v>0</v>
      </c>
      <c r="R48" s="4">
        <f>VLOOKUP(A48,[13]III!$C$84:$E$99,3,0)</f>
        <v>-150000</v>
      </c>
      <c r="S48" s="8">
        <f>VLOOKUP(A48,[14]III!$C$85:$E$100,3,0)</f>
        <v>-150000</v>
      </c>
      <c r="T48" s="302">
        <f>VLOOKUP(A48,[15]III!$C$84:$E$99,3,0)</f>
        <v>-460000</v>
      </c>
      <c r="U48" s="1"/>
      <c r="V48" s="304">
        <f>VLOOKUP(A48,[16]III!$C$84:$E$99,3,0)</f>
        <v>0</v>
      </c>
      <c r="W48" s="4">
        <f>VLOOKUP(A48,[17]III!$C$84:$E$99,3,0)</f>
        <v>0</v>
      </c>
      <c r="X48" s="8">
        <f>VLOOKUP(A48,[18]III!$C$84:$E$99,3,0)</f>
        <v>-1020000</v>
      </c>
      <c r="Y48" s="306">
        <f>VLOOKUP(A48,[19]III!$C$86:$E$101,3,0)</f>
        <v>-1474542</v>
      </c>
      <c r="AA48" s="304">
        <f>VLOOKUP(A48,[20]III!$C$86:$E$101,3,0)</f>
        <v>-530000</v>
      </c>
      <c r="AB48" s="4"/>
      <c r="AC48" s="8"/>
      <c r="AD48" s="306"/>
    </row>
    <row r="49" spans="1:30" ht="16.05" customHeight="1" x14ac:dyDescent="0.3">
      <c r="A49" s="38" t="s">
        <v>115</v>
      </c>
      <c r="B49" s="45">
        <v>-1141</v>
      </c>
      <c r="C49" s="45">
        <f>VLOOKUP(A49,[1]III!$C$80:$E$94,3,0)</f>
        <v>-2394</v>
      </c>
      <c r="D49" s="45">
        <f>VLOOKUP(A49,[2]III!$C$80:$E$93,3,0)</f>
        <v>-3177</v>
      </c>
      <c r="E49" s="45">
        <f>VLOOKUP(A49,[3]III!$C$80:$E$94,3,0)</f>
        <v>-4507</v>
      </c>
      <c r="F49" s="57"/>
      <c r="G49" s="44">
        <f>VLOOKUP(A49,[4]III!$C$80:$E$93,3,0)</f>
        <v>-1067</v>
      </c>
      <c r="H49" s="45">
        <f>VLOOKUP(A49,[5]III!$C$80:$E$93,3,0)</f>
        <v>-1972</v>
      </c>
      <c r="I49" s="45">
        <f>VLOOKUP(A49,[6]III!$C$81:$E$96,3,0)</f>
        <v>-2981</v>
      </c>
      <c r="J49" s="45">
        <f>VLOOKUP(A49,[7]III!$C$82:$E$98,3,0)</f>
        <v>-3866</v>
      </c>
      <c r="K49" s="57"/>
      <c r="L49" s="44">
        <f>VLOOKUP(A49,[8]III!$C$82:$E$97,3,0)</f>
        <v>-908</v>
      </c>
      <c r="M49" s="45">
        <f>VLOOKUP(A49,[9]III!$C$82:$E$97,3,0)</f>
        <v>-1250</v>
      </c>
      <c r="N49" s="45">
        <f>VLOOKUP(A49,[10]III!$C$82:$E$97,3,0)</f>
        <v>-2361</v>
      </c>
      <c r="O49" s="4">
        <f>VLOOKUP(A49,[11]III!$C$82:$E$97,3,0)</f>
        <v>-3050</v>
      </c>
      <c r="P49" s="7"/>
      <c r="Q49" s="4">
        <f>VLOOKUP(A49,[12]III!$C$82:$E$97,3,0)</f>
        <v>-5689</v>
      </c>
      <c r="R49" s="4">
        <f>VLOOKUP(A49,[13]III!$C$84:$E$99,3,0)</f>
        <v>-15762</v>
      </c>
      <c r="S49" s="8">
        <f>VLOOKUP(A49,[14]III!$C$85:$E$100,3,0)</f>
        <v>-20997</v>
      </c>
      <c r="T49" s="302">
        <f>VLOOKUP(A49,[15]III!$C$84:$E$99,3,0)</f>
        <v>-22262</v>
      </c>
      <c r="U49" s="1"/>
      <c r="V49" s="304">
        <f>VLOOKUP(A49,[16]III!$C$84:$E$99,3,0)</f>
        <v>-1235</v>
      </c>
      <c r="W49" s="4">
        <f>VLOOKUP(A49,[17]III!$C$84:$E$99,3,0)</f>
        <v>-1855</v>
      </c>
      <c r="X49" s="8">
        <f>VLOOKUP(A49,[18]III!$C$84:$E$99,3,0)</f>
        <v>-3403</v>
      </c>
      <c r="Y49" s="306">
        <f>VLOOKUP(A49,[19]III!$C$86:$E$101,3,0)</f>
        <v>-4566</v>
      </c>
      <c r="AA49" s="304">
        <f>VLOOKUP(A49,[20]III!$C$86:$E$101,3,0)</f>
        <v>-1048</v>
      </c>
      <c r="AB49" s="4"/>
      <c r="AC49" s="8"/>
      <c r="AD49" s="306"/>
    </row>
    <row r="50" spans="1:30" ht="16.05" customHeight="1" x14ac:dyDescent="0.3">
      <c r="A50" s="38" t="s">
        <v>255</v>
      </c>
      <c r="B50" s="45"/>
      <c r="C50" s="45"/>
      <c r="D50" s="45"/>
      <c r="E50" s="45"/>
      <c r="F50" s="57"/>
      <c r="G50" s="44">
        <f>VLOOKUP(A50,[4]III!$C$80:$E$93,3,0)</f>
        <v>-55554</v>
      </c>
      <c r="H50" s="45">
        <f>VLOOKUP(A50,[5]III!$C$80:$E$93,3,0)</f>
        <v>-55555</v>
      </c>
      <c r="I50" s="45">
        <f>VLOOKUP(A50,[6]III!$C$81:$E$96,3,0)</f>
        <v>-55555</v>
      </c>
      <c r="J50" s="45">
        <f>VLOOKUP(A50,[7]III!$C$82:$E$98,3,0)</f>
        <v>-55555</v>
      </c>
      <c r="K50" s="57"/>
      <c r="L50" s="44">
        <f>VLOOKUP(A50,[8]III!$C$82:$E$97,3,0)</f>
        <v>0</v>
      </c>
      <c r="M50" s="45">
        <f>VLOOKUP(A50,[9]III!$C$82:$E$97,3,0)</f>
        <v>0</v>
      </c>
      <c r="N50" s="45">
        <f>VLOOKUP(A50,[10]III!$C$82:$E$97,3,0)</f>
        <v>0</v>
      </c>
      <c r="O50" s="4">
        <f>VLOOKUP(A50,[11]III!$C$82:$E$97,3,0)</f>
        <v>0</v>
      </c>
      <c r="P50" s="7"/>
      <c r="Q50" s="4">
        <f>VLOOKUP(A50,[12]III!$C$82:$E$97,3,0)</f>
        <v>0</v>
      </c>
      <c r="R50" s="4">
        <f>VLOOKUP(A50,[13]III!$C$84:$E$99,3,0)</f>
        <v>0</v>
      </c>
      <c r="S50" s="8">
        <f>VLOOKUP(A50,[14]III!$C$85:$E$100,3,0)</f>
        <v>0</v>
      </c>
      <c r="T50" s="302">
        <f>VLOOKUP(A50,[15]III!$C$84:$E$99,3,0)</f>
        <v>0</v>
      </c>
      <c r="U50" s="1"/>
      <c r="V50" s="304">
        <f>VLOOKUP(A50,[16]III!$C$84:$E$99,3,0)</f>
        <v>0</v>
      </c>
      <c r="W50" s="4">
        <f>VLOOKUP(A50,[17]III!$C$84:$E$99,3,0)</f>
        <v>0</v>
      </c>
      <c r="X50" s="8">
        <f>VLOOKUP(A50,[18]III!$C$84:$E$99,3,0)</f>
        <v>0</v>
      </c>
      <c r="Y50" s="306">
        <f>VLOOKUP(A50,[19]III!$C$86:$E$101,3,0)</f>
        <v>0</v>
      </c>
      <c r="AA50" s="304">
        <f>VLOOKUP(A50,[20]III!$C$86:$E$101,3,0)</f>
        <v>0</v>
      </c>
      <c r="AB50" s="4"/>
      <c r="AC50" s="8"/>
      <c r="AD50" s="306"/>
    </row>
    <row r="51" spans="1:30" ht="16.05" customHeight="1" x14ac:dyDescent="0.3">
      <c r="A51" s="38" t="s">
        <v>258</v>
      </c>
      <c r="B51" s="45"/>
      <c r="C51" s="45"/>
      <c r="D51" s="45"/>
      <c r="E51" s="45"/>
      <c r="F51" s="57"/>
      <c r="G51" s="44">
        <v>0</v>
      </c>
      <c r="H51" s="47">
        <v>0</v>
      </c>
      <c r="I51" s="45">
        <f>VLOOKUP(A51,[6]III!$C$81:$E$96,3,0)</f>
        <v>2000</v>
      </c>
      <c r="J51" s="45">
        <f>VLOOKUP(A51,[7]III!$C$82:$E$98,3,0)</f>
        <v>2000</v>
      </c>
      <c r="K51" s="57"/>
      <c r="L51" s="44">
        <f>VLOOKUP(A51,[8]III!$C$82:$E$97,3,0)</f>
        <v>0</v>
      </c>
      <c r="M51" s="45">
        <f>VLOOKUP(A51,[9]III!$C$82:$E$97,3,0)</f>
        <v>0</v>
      </c>
      <c r="N51" s="45">
        <f>VLOOKUP(A51,[10]III!$C$82:$E$97,3,0)</f>
        <v>0</v>
      </c>
      <c r="O51" s="4">
        <f>VLOOKUP(A51,[11]III!$C$82:$E$97,3,0)</f>
        <v>0</v>
      </c>
      <c r="P51" s="7"/>
      <c r="Q51" s="4">
        <f>VLOOKUP(A51,[12]III!$C$82:$E$97,3,0)</f>
        <v>0</v>
      </c>
      <c r="R51" s="4">
        <f>VLOOKUP(A51,[13]III!$C$84:$E$99,3,0)</f>
        <v>0</v>
      </c>
      <c r="S51" s="8">
        <f>VLOOKUP(A51,[14]III!$C$85:$E$100,3,0)</f>
        <v>0</v>
      </c>
      <c r="T51" s="302">
        <f>VLOOKUP(A51,[15]III!$C$84:$E$99,3,0)</f>
        <v>0</v>
      </c>
      <c r="U51" s="1"/>
      <c r="V51" s="304">
        <f>VLOOKUP(A51,[16]III!$C$84:$E$99,3,0)</f>
        <v>0</v>
      </c>
      <c r="W51" s="4">
        <f>VLOOKUP(A51,[17]III!$C$84:$E$99,3,0)</f>
        <v>0</v>
      </c>
      <c r="X51" s="8">
        <f>VLOOKUP(A51,[18]III!$C$84:$E$99,3,0)</f>
        <v>0</v>
      </c>
      <c r="Y51" s="306">
        <f>VLOOKUP(A51,[19]III!$C$86:$E$101,3,0)</f>
        <v>0</v>
      </c>
      <c r="AA51" s="304">
        <f>VLOOKUP(A51,[20]III!$C$86:$E$101,3,0)</f>
        <v>0</v>
      </c>
      <c r="AB51" s="4"/>
      <c r="AC51" s="8"/>
      <c r="AD51" s="306"/>
    </row>
    <row r="52" spans="1:30" ht="16.05" customHeight="1" x14ac:dyDescent="0.3">
      <c r="A52" s="38" t="s">
        <v>116</v>
      </c>
      <c r="B52" s="45">
        <v>0</v>
      </c>
      <c r="C52" s="45">
        <f>VLOOKUP(A52,[1]III!$C$80:$E$94,3,0)</f>
        <v>0</v>
      </c>
      <c r="D52" s="45">
        <f>VLOOKUP(A52,[2]III!$C$80:$E$93,3,0)</f>
        <v>0</v>
      </c>
      <c r="E52" s="45">
        <f>VLOOKUP(A52,[3]III!$C$80:$E$94,3,0)</f>
        <v>0</v>
      </c>
      <c r="F52" s="57"/>
      <c r="G52" s="44">
        <f>VLOOKUP(A52,[4]III!$C$80:$E$93,3,0)</f>
        <v>0</v>
      </c>
      <c r="H52" s="45">
        <f>VLOOKUP(A52,[5]III!$C$80:$E$93,3,0)</f>
        <v>0</v>
      </c>
      <c r="I52" s="45">
        <f>VLOOKUP(A52,[6]III!$C$81:$E$96,3,0)</f>
        <v>0</v>
      </c>
      <c r="J52" s="45">
        <f>VLOOKUP(A52,[7]III!$C$82:$E$98,3,0)</f>
        <v>0</v>
      </c>
      <c r="K52" s="57"/>
      <c r="L52" s="44">
        <f>VLOOKUP(A52,[8]III!$C$82:$E$97,3,0)</f>
        <v>0</v>
      </c>
      <c r="M52" s="45">
        <f>VLOOKUP(A52,[9]III!$C$82:$E$97,3,0)</f>
        <v>0</v>
      </c>
      <c r="N52" s="45">
        <f>VLOOKUP(A52,[10]III!$C$82:$E$97,3,0)</f>
        <v>0</v>
      </c>
      <c r="O52" s="4">
        <f>VLOOKUP(A52,[11]III!$C$82:$E$97,3,0)</f>
        <v>0</v>
      </c>
      <c r="P52" s="7"/>
      <c r="Q52" s="4">
        <f>VLOOKUP(A52,[12]III!$C$82:$E$97,3,0)</f>
        <v>0</v>
      </c>
      <c r="R52" s="4">
        <f>VLOOKUP(A52,[13]III!$C$84:$E$99,3,0)</f>
        <v>0</v>
      </c>
      <c r="S52" s="8">
        <f>VLOOKUP(A52,[14]III!$C$85:$E$100,3,0)</f>
        <v>0</v>
      </c>
      <c r="T52" s="302">
        <f>VLOOKUP(A52,[15]III!$C$84:$E$99,3,0)</f>
        <v>0</v>
      </c>
      <c r="U52" s="1"/>
      <c r="V52" s="304">
        <f>VLOOKUP(A52,[16]III!$C$84:$E$99,3,0)</f>
        <v>0</v>
      </c>
      <c r="W52" s="4">
        <f>VLOOKUP(A52,[17]III!$C$84:$E$99,3,0)</f>
        <v>-25392</v>
      </c>
      <c r="X52" s="8">
        <f>VLOOKUP(A52,[18]III!$C$84:$E$99,3,0)</f>
        <v>-25292</v>
      </c>
      <c r="Y52" s="306">
        <f>VLOOKUP(A52,[19]III!$C$86:$E$101,3,0)</f>
        <v>-25292</v>
      </c>
      <c r="AA52" s="304">
        <f>VLOOKUP(A52,[20]III!$C$86:$E$101,3,0)</f>
        <v>0</v>
      </c>
      <c r="AB52" s="4"/>
      <c r="AC52" s="8"/>
      <c r="AD52" s="306"/>
    </row>
    <row r="53" spans="1:30" ht="16.05" customHeight="1" x14ac:dyDescent="0.3">
      <c r="A53" s="38" t="s">
        <v>69</v>
      </c>
      <c r="B53" s="45">
        <v>-13961</v>
      </c>
      <c r="C53" s="45">
        <f>VLOOKUP(A53,[1]III!$C$80:$E$94,3,0)</f>
        <v>-86225</v>
      </c>
      <c r="D53" s="45">
        <f>VLOOKUP(A53,[2]III!$C$80:$E$93,3,0)</f>
        <v>-108299</v>
      </c>
      <c r="E53" s="45">
        <f>VLOOKUP(A53,[3]III!$C$80:$E$94,3,0)</f>
        <v>-195188</v>
      </c>
      <c r="F53" s="57"/>
      <c r="G53" s="44">
        <f>VLOOKUP(A53,[4]III!$C$80:$E$93,3,0)</f>
        <v>-14402</v>
      </c>
      <c r="H53" s="45">
        <f>VLOOKUP(A53,[5]III!$C$80:$E$93,3,0)</f>
        <v>-82418</v>
      </c>
      <c r="I53" s="45">
        <f>VLOOKUP(A53,[6]III!$C$81:$E$96,3,0)</f>
        <v>-95575</v>
      </c>
      <c r="J53" s="45">
        <f>VLOOKUP(A53,[7]III!$C$82:$E$98,3,0)</f>
        <v>-172855</v>
      </c>
      <c r="K53" s="57"/>
      <c r="L53" s="44">
        <f>VLOOKUP(A53,[8]III!$C$82:$E$97,3,0)</f>
        <v>-19633</v>
      </c>
      <c r="M53" s="45">
        <f>VLOOKUP(A53,[9]III!$C$82:$E$97,3,0)</f>
        <v>-87195</v>
      </c>
      <c r="N53" s="45">
        <f>VLOOKUP(A53,[10]III!$C$82:$E$97,3,0)</f>
        <v>-117281</v>
      </c>
      <c r="O53" s="4">
        <f>VLOOKUP(A53,[11]III!$C$82:$E$97,3,0)</f>
        <v>-181765</v>
      </c>
      <c r="P53" s="7"/>
      <c r="Q53" s="4">
        <f>VLOOKUP(A53,[12]III!$C$82:$E$97,3,0)</f>
        <v>-36541</v>
      </c>
      <c r="R53" s="4">
        <f>VLOOKUP(A53,[13]III!$C$84:$E$99,3,0)</f>
        <v>-92714</v>
      </c>
      <c r="S53" s="8">
        <f>VLOOKUP(A53,[14]III!$C$85:$E$100,3,0)</f>
        <v>-132251</v>
      </c>
      <c r="T53" s="302">
        <f>VLOOKUP(A53,[15]III!$C$84:$E$99,3,0)</f>
        <v>-185940</v>
      </c>
      <c r="U53" s="1"/>
      <c r="V53" s="304">
        <f>VLOOKUP(A53,[16]III!$C$84:$E$99,3,0)</f>
        <v>-48230</v>
      </c>
      <c r="W53" s="4">
        <f>VLOOKUP(A53,[17]III!$C$84:$E$99,3,0)</f>
        <v>-107328</v>
      </c>
      <c r="X53" s="8">
        <f>VLOOKUP(A53,[18]III!$C$84:$E$99,3,0)</f>
        <v>-164056</v>
      </c>
      <c r="Y53" s="306">
        <f>VLOOKUP(A53,[19]III!$C$86:$E$101,3,0)</f>
        <v>-213259</v>
      </c>
      <c r="AA53" s="304">
        <f>VLOOKUP(A53,[20]III!$C$86:$E$101,3,0)</f>
        <v>-47239</v>
      </c>
      <c r="AB53" s="4"/>
      <c r="AC53" s="8"/>
      <c r="AD53" s="306"/>
    </row>
    <row r="54" spans="1:30" ht="16.05" customHeight="1" x14ac:dyDescent="0.3">
      <c r="A54" s="383" t="s">
        <v>237</v>
      </c>
      <c r="B54" s="381">
        <v>-194221</v>
      </c>
      <c r="C54" s="381">
        <f>SUM(C44:C53)</f>
        <v>-803056</v>
      </c>
      <c r="D54" s="381">
        <f t="shared" ref="D54:E54" si="0">SUM(D44:D53)</f>
        <v>-1017065</v>
      </c>
      <c r="E54" s="381">
        <f t="shared" si="0"/>
        <v>-1461308</v>
      </c>
      <c r="F54" s="60"/>
      <c r="G54" s="381">
        <f>SUM(G44:G53)</f>
        <v>-29391</v>
      </c>
      <c r="H54" s="381">
        <f>SUM(H44:H53)</f>
        <v>561690</v>
      </c>
      <c r="I54" s="381">
        <f>SUM(I44:I53)</f>
        <v>830704</v>
      </c>
      <c r="J54" s="381">
        <f>SUM(J44:J53)</f>
        <v>376871</v>
      </c>
      <c r="K54" s="60"/>
      <c r="L54" s="381">
        <f>SUM(L44:L53)</f>
        <v>393706</v>
      </c>
      <c r="M54" s="381">
        <f>SUM(M44:M53)</f>
        <v>90120</v>
      </c>
      <c r="N54" s="381">
        <f>SUM(N44:N53)</f>
        <v>13184</v>
      </c>
      <c r="O54" s="381">
        <f>SUM(O44:O53)</f>
        <v>-66972</v>
      </c>
      <c r="P54" s="7"/>
      <c r="Q54" s="381">
        <f>SUM(Q44:Q53)</f>
        <v>-38203</v>
      </c>
      <c r="R54" s="381">
        <f>SUM(R44:R53)</f>
        <v>36832</v>
      </c>
      <c r="S54" s="381">
        <f>SUM(S44:S53)</f>
        <v>5559</v>
      </c>
      <c r="T54" s="382">
        <f>SUM(T44:T53)</f>
        <v>-101155</v>
      </c>
      <c r="U54" s="1"/>
      <c r="V54" s="380">
        <f>SUM(V44:V53)</f>
        <v>30463</v>
      </c>
      <c r="W54" s="381">
        <f>SUM(W44:W53)</f>
        <v>214272</v>
      </c>
      <c r="X54" s="381">
        <f>SUM(X44:X53)</f>
        <v>-286395</v>
      </c>
      <c r="Y54" s="382">
        <f>SUM(Y44:Y53)</f>
        <v>-366685</v>
      </c>
      <c r="AA54" s="380">
        <f>SUM(AA44:AA53)</f>
        <v>-27044</v>
      </c>
      <c r="AB54" s="381">
        <f>SUM(AB44:AB53)</f>
        <v>0</v>
      </c>
      <c r="AC54" s="381">
        <f>SUM(AC44:AC53)</f>
        <v>0</v>
      </c>
      <c r="AD54" s="382">
        <f>SUM(AD44:AD53)</f>
        <v>0</v>
      </c>
    </row>
    <row r="55" spans="1:30" ht="16.05" customHeight="1" x14ac:dyDescent="0.3">
      <c r="A55" s="37"/>
      <c r="B55" s="41"/>
      <c r="C55" s="42"/>
      <c r="D55" s="42"/>
      <c r="E55" s="1"/>
      <c r="F55" s="56"/>
      <c r="G55" s="41"/>
      <c r="H55" s="42"/>
      <c r="I55" s="42"/>
      <c r="J55" s="42"/>
      <c r="K55" s="56"/>
      <c r="L55" s="41"/>
      <c r="M55" s="42"/>
      <c r="N55" s="42"/>
      <c r="O55" s="4"/>
      <c r="P55" s="7"/>
      <c r="Q55" s="1"/>
      <c r="R55" s="1"/>
      <c r="S55" s="13"/>
      <c r="T55" s="75" t="s">
        <v>29</v>
      </c>
      <c r="U55" s="1"/>
      <c r="V55" s="49"/>
      <c r="W55" s="1"/>
      <c r="X55" s="13"/>
      <c r="Y55" s="77"/>
      <c r="AA55" s="49"/>
      <c r="AB55" s="1"/>
      <c r="AC55" s="13"/>
      <c r="AD55" s="77"/>
    </row>
    <row r="56" spans="1:30" ht="16.05" customHeight="1" x14ac:dyDescent="0.3">
      <c r="A56" s="37" t="s">
        <v>117</v>
      </c>
      <c r="B56" s="41">
        <v>-1065</v>
      </c>
      <c r="C56" s="42">
        <f>VLOOKUP(A56,[1]III!$B$97:$E$100,4,0)</f>
        <v>-1109</v>
      </c>
      <c r="D56" s="42">
        <f>VLOOKUP(A56,[2]III!$B$97:$E$100,4,0)</f>
        <v>-4142</v>
      </c>
      <c r="E56" s="42">
        <f>VLOOKUP(A56,[3]III!$B$97:$E$97,4,0)</f>
        <v>556</v>
      </c>
      <c r="F56" s="56"/>
      <c r="G56" s="41">
        <f>VLOOKUP(A56,[4]III!$B$97:$E$100,4,0)</f>
        <v>-52600</v>
      </c>
      <c r="H56" s="42">
        <f>VLOOKUP(A56,[5]III!$B$97:$E$100,4,0)</f>
        <v>4101</v>
      </c>
      <c r="I56" s="42">
        <f>VLOOKUP(A56,[6]III!$B$100:$E$104,4,0)</f>
        <v>7089</v>
      </c>
      <c r="J56" s="42">
        <f>VLOOKUP(A56,[7]III!$B$101:$E$105,4,0)</f>
        <v>33889</v>
      </c>
      <c r="K56" s="56"/>
      <c r="L56" s="41">
        <f>VLOOKUP(A56,[8]III!$B$101:$E$104,4,0)</f>
        <v>14088</v>
      </c>
      <c r="M56" s="42">
        <f>VLOOKUP(A56,[9]III!$B$101:$E$104,4,0)</f>
        <v>17019</v>
      </c>
      <c r="N56" s="42">
        <f>VLOOKUP(A56,[10]III!$B$101:$E$104,4,0)</f>
        <v>-14219</v>
      </c>
      <c r="O56" s="4">
        <f>VLOOKUP(A56,[11]III!$B$101:$E$104,4,0)</f>
        <v>-16474</v>
      </c>
      <c r="P56" s="7"/>
      <c r="Q56" s="4">
        <f>VLOOKUP(A56,[12]III!$B$101:$E$104,4,0)</f>
        <v>13145</v>
      </c>
      <c r="R56" s="4">
        <f>VLOOKUP(A56,[13]III!$B$103:$E$106,4,0)</f>
        <v>1456</v>
      </c>
      <c r="S56" s="8">
        <f>VLOOKUP(A56,[14]III!$B$104:$E$107,4,0)</f>
        <v>-837</v>
      </c>
      <c r="T56" s="76">
        <f>VLOOKUP(A56,[15]III!$B$103:$E$106,4,0)</f>
        <v>-5098</v>
      </c>
      <c r="U56" s="1"/>
      <c r="V56" s="3">
        <f>VLOOKUP(A56,[16]III!$B$103:$E$106,4,0)</f>
        <v>-5993</v>
      </c>
      <c r="W56" s="4">
        <f>VLOOKUP(A56,[17]III!$B$103:$E$106,4,0)</f>
        <v>14586</v>
      </c>
      <c r="X56" s="8">
        <f>VLOOKUP(A56,[18]III!$B$103:$E$106,4,0)</f>
        <v>3667</v>
      </c>
      <c r="Y56" s="79">
        <f>VLOOKUP(A56,[19]III!$B$105:$E$108,4,0)</f>
        <v>15377</v>
      </c>
      <c r="AA56" s="3">
        <f>VLOOKUP(A56,[20]III!$B$105:$E$108,4,0)</f>
        <v>-3793</v>
      </c>
      <c r="AB56" s="4"/>
      <c r="AC56" s="8"/>
      <c r="AD56" s="79"/>
    </row>
    <row r="57" spans="1:30" ht="16.05" customHeight="1" x14ac:dyDescent="0.3">
      <c r="A57" s="37"/>
      <c r="B57" s="41"/>
      <c r="C57" s="42"/>
      <c r="D57" s="42"/>
      <c r="E57" s="42"/>
      <c r="F57" s="56"/>
      <c r="G57" s="41"/>
      <c r="H57" s="42"/>
      <c r="I57" s="42"/>
      <c r="J57" s="42"/>
      <c r="K57" s="56"/>
      <c r="L57" s="41"/>
      <c r="M57" s="42"/>
      <c r="N57" s="42"/>
      <c r="O57" s="4"/>
      <c r="P57" s="7"/>
      <c r="Q57" s="4"/>
      <c r="R57" s="4"/>
      <c r="S57" s="8"/>
      <c r="T57" s="76"/>
      <c r="U57" s="1"/>
      <c r="V57" s="3"/>
      <c r="W57" s="4"/>
      <c r="X57" s="8"/>
      <c r="Y57" s="79"/>
      <c r="AA57" s="3"/>
      <c r="AB57" s="4"/>
      <c r="AC57" s="8"/>
      <c r="AD57" s="79"/>
    </row>
    <row r="58" spans="1:30" ht="16.05" customHeight="1" x14ac:dyDescent="0.3">
      <c r="A58" s="37" t="s">
        <v>245</v>
      </c>
      <c r="B58" s="42">
        <v>-408146</v>
      </c>
      <c r="C58" s="42">
        <f>C14+C41+C54+C56</f>
        <v>-183810</v>
      </c>
      <c r="D58" s="42">
        <f>D14+D41+D54+D56</f>
        <v>-365250</v>
      </c>
      <c r="E58" s="42">
        <f>E14+E41+E54+E56</f>
        <v>-20210</v>
      </c>
      <c r="F58" s="56"/>
      <c r="G58" s="41">
        <f>G14+G41+G54+G56</f>
        <v>-196146</v>
      </c>
      <c r="H58" s="42">
        <f>H14+H41+H54+H56</f>
        <v>-273680</v>
      </c>
      <c r="I58" s="42">
        <f>I14+I41+I54+I56</f>
        <v>-14839</v>
      </c>
      <c r="J58" s="42">
        <f>J14+J41+J54+J56</f>
        <v>23999</v>
      </c>
      <c r="K58" s="56"/>
      <c r="L58" s="41">
        <f>L14+L41+L54+L56</f>
        <v>-117704</v>
      </c>
      <c r="M58" s="42">
        <f>M14+M41+M54+M56</f>
        <v>66673</v>
      </c>
      <c r="N58" s="42">
        <f>N14+N41+N54+N56</f>
        <v>-212621</v>
      </c>
      <c r="O58" s="42">
        <f>O14+O41+O54+O56</f>
        <v>-232528</v>
      </c>
      <c r="P58" s="7"/>
      <c r="Q58" s="41">
        <f>Q14+Q41+Q54+Q56</f>
        <v>-40521</v>
      </c>
      <c r="R58" s="42">
        <f>R14+R41+R54+R56</f>
        <v>81657</v>
      </c>
      <c r="S58" s="42">
        <f>S14+S41+S54+S56</f>
        <v>97436</v>
      </c>
      <c r="T58" s="299">
        <f>T14+T41+T54+T56</f>
        <v>167267</v>
      </c>
      <c r="U58" s="1"/>
      <c r="V58" s="41">
        <f>V14+V41+V54+V56</f>
        <v>74447</v>
      </c>
      <c r="W58" s="42">
        <f>W14+W41+W54+W56</f>
        <v>544760</v>
      </c>
      <c r="X58" s="42">
        <f>X14+X41+X54+X56</f>
        <v>108006</v>
      </c>
      <c r="Y58" s="299">
        <f>Y14+Y41+Y54+Y56</f>
        <v>3601</v>
      </c>
      <c r="AA58" s="3">
        <f>VLOOKUP(A58,[20]III!$B$105:$E$108,4,0)</f>
        <v>-5737</v>
      </c>
      <c r="AB58" s="42"/>
      <c r="AC58" s="42"/>
      <c r="AD58" s="299"/>
    </row>
    <row r="59" spans="1:30" ht="16.05" customHeight="1" x14ac:dyDescent="0.3">
      <c r="A59" s="37" t="s">
        <v>246</v>
      </c>
      <c r="B59" s="44">
        <v>1076943</v>
      </c>
      <c r="C59" s="42">
        <f>VLOOKUP(A59,[1]III!$B$97:$E$100,4,0)</f>
        <v>1076943</v>
      </c>
      <c r="D59" s="42">
        <f>VLOOKUP(A59,[2]III!$B$97:$E$100,4,0)</f>
        <v>1076943</v>
      </c>
      <c r="E59" s="223">
        <f>VLOOKUP(A59,[3]III!$B$99:$E$101,4,0)</f>
        <v>1076943</v>
      </c>
      <c r="F59" s="72"/>
      <c r="G59" s="41">
        <f>VLOOKUP(A59,[4]III!$B$97:$E$100,4,0)</f>
        <v>1056733</v>
      </c>
      <c r="H59" s="42">
        <f>VLOOKUP(A59,[5]III!$B$97:$E$100,4,0)</f>
        <v>1056733</v>
      </c>
      <c r="I59" s="42">
        <f>VLOOKUP(A59,[6]III!$B$100:$E$104,4,0)</f>
        <v>1056733</v>
      </c>
      <c r="J59" s="42">
        <f>VLOOKUP(A59,[7]III!$B$104:$E$104,4,0)</f>
        <v>1056733</v>
      </c>
      <c r="K59" s="37"/>
      <c r="L59" s="41">
        <f>VLOOKUP(A59,[8]III!$B$101:$E$104,4,0)</f>
        <v>1080732</v>
      </c>
      <c r="M59" s="42">
        <f>VLOOKUP(A59,[9]III!$B$101:$E$104,4,0)</f>
        <v>1080732</v>
      </c>
      <c r="N59" s="42">
        <f>VLOOKUP(A59,[10]III!$B$101:$E$104,4,0)</f>
        <v>1080732</v>
      </c>
      <c r="O59" s="4">
        <f>VLOOKUP(A59,[11]III!$B$101:$E$104,4,0)</f>
        <v>1080732</v>
      </c>
      <c r="P59" s="7"/>
      <c r="Q59" s="4">
        <f>VLOOKUP(A59,[12]III!$B$101:$E$104,4,0)</f>
        <v>848204</v>
      </c>
      <c r="R59" s="4">
        <f>VLOOKUP(A59,[13]III!$B$103:$E$106,4,0)</f>
        <v>848204</v>
      </c>
      <c r="S59" s="8">
        <f>VLOOKUP(A59,[14]III!$B$104:$E$107,4,0)</f>
        <v>848204</v>
      </c>
      <c r="T59" s="76">
        <f>VLOOKUP(A59,[15]III!$B$103:$E$106,4,0)</f>
        <v>848204</v>
      </c>
      <c r="U59" s="1"/>
      <c r="V59" s="3">
        <f>VLOOKUP(A59,[16]III!$B$103:$E$106,4,0)</f>
        <v>995768</v>
      </c>
      <c r="W59" s="4">
        <f>VLOOKUP(A59,[17]III!$B$103:$E$106,4,0)</f>
        <v>995768</v>
      </c>
      <c r="X59" s="8">
        <f>VLOOKUP(A59,[18]III!$B$103:$E$106,4,0)</f>
        <v>995768</v>
      </c>
      <c r="Y59" s="79">
        <f>VLOOKUP(A59,[19]III!$B$105:$E$108,4,0)</f>
        <v>995768</v>
      </c>
      <c r="AA59" s="3">
        <f>VLOOKUP(A59,[20]III!$B$105:$E$108,4,0)</f>
        <v>763314</v>
      </c>
      <c r="AB59" s="4"/>
      <c r="AC59" s="8"/>
      <c r="AD59" s="79"/>
    </row>
    <row r="60" spans="1:30" ht="16.05" customHeight="1" x14ac:dyDescent="0.3">
      <c r="A60" s="383" t="s">
        <v>247</v>
      </c>
      <c r="B60" s="381">
        <v>668797</v>
      </c>
      <c r="C60" s="381">
        <f>SUM(C58:C59)</f>
        <v>893133</v>
      </c>
      <c r="D60" s="381">
        <f>SUM(D58:D59)</f>
        <v>711693</v>
      </c>
      <c r="E60" s="381">
        <f>SUM(E58:E59)</f>
        <v>1056733</v>
      </c>
      <c r="F60" s="60"/>
      <c r="G60" s="381">
        <f>SUM(G58:G59)</f>
        <v>860587</v>
      </c>
      <c r="H60" s="381">
        <f>SUM(H58:H59)</f>
        <v>783053</v>
      </c>
      <c r="I60" s="381">
        <f>SUM(I58:I59)</f>
        <v>1041894</v>
      </c>
      <c r="J60" s="381">
        <f>SUM(J58:J59)</f>
        <v>1080732</v>
      </c>
      <c r="K60" s="60"/>
      <c r="L60" s="381">
        <f>SUM(L58:L59)</f>
        <v>963028</v>
      </c>
      <c r="M60" s="381">
        <f t="shared" ref="M60:O60" si="1">SUM(M58:M59)</f>
        <v>1147405</v>
      </c>
      <c r="N60" s="381">
        <f t="shared" si="1"/>
        <v>868111</v>
      </c>
      <c r="O60" s="381">
        <f t="shared" si="1"/>
        <v>848204</v>
      </c>
      <c r="P60" s="7"/>
      <c r="Q60" s="381">
        <f>SUM(Q58:Q59)</f>
        <v>807683</v>
      </c>
      <c r="R60" s="381">
        <f>SUM(R58:R59)</f>
        <v>929861</v>
      </c>
      <c r="S60" s="381">
        <f>SUM(S58:S59)</f>
        <v>945640</v>
      </c>
      <c r="T60" s="382">
        <f>SUM(T58:T59)</f>
        <v>1015471</v>
      </c>
      <c r="U60" s="1"/>
      <c r="V60" s="380">
        <f>SUM(V58:V59)</f>
        <v>1070215</v>
      </c>
      <c r="W60" s="381">
        <f>SUM(W58:W59)</f>
        <v>1540528</v>
      </c>
      <c r="X60" s="381">
        <f>SUM(X58:X59)</f>
        <v>1103774</v>
      </c>
      <c r="Y60" s="382">
        <f>SUM(Y58:Y59)</f>
        <v>999369</v>
      </c>
      <c r="AA60" s="380">
        <f>SUM(AA58:AA59)</f>
        <v>757577</v>
      </c>
      <c r="AB60" s="381">
        <f>SUM(AB58:AB59)</f>
        <v>0</v>
      </c>
      <c r="AC60" s="381">
        <f>SUM(AC58:AC59)</f>
        <v>0</v>
      </c>
      <c r="AD60" s="382">
        <f>SUM(AD58:AD59)</f>
        <v>0</v>
      </c>
    </row>
    <row r="61" spans="1:30" ht="16.05" customHeight="1" x14ac:dyDescent="0.3">
      <c r="A61" s="50"/>
      <c r="B61" s="12"/>
      <c r="C61" s="51"/>
      <c r="D61" s="51"/>
      <c r="E61" s="51"/>
      <c r="F61" s="12"/>
      <c r="G61" s="12"/>
      <c r="H61" s="51"/>
      <c r="I61" s="51"/>
      <c r="J61" s="51"/>
      <c r="K61" s="50"/>
      <c r="L61" s="51"/>
      <c r="M61" s="51"/>
      <c r="N61" s="51"/>
      <c r="O61" s="51"/>
      <c r="P61" s="7"/>
      <c r="Q61" s="52"/>
      <c r="R61" s="52"/>
      <c r="S61" s="53"/>
      <c r="T61" s="54"/>
      <c r="U61" s="1"/>
      <c r="V61" s="55"/>
      <c r="W61" s="52"/>
      <c r="X61" s="53"/>
      <c r="Y61" s="54"/>
      <c r="AA61" s="55"/>
      <c r="AB61" s="52"/>
      <c r="AC61" s="53"/>
      <c r="AD61" s="54"/>
    </row>
    <row r="62" spans="1:30" ht="16.0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AA62" s="1"/>
      <c r="AB62" s="1"/>
      <c r="AC62" s="1"/>
      <c r="AD62" s="1"/>
    </row>
  </sheetData>
  <mergeCells count="6">
    <mergeCell ref="AA1:AD1"/>
    <mergeCell ref="B1:E1"/>
    <mergeCell ref="L1:O1"/>
    <mergeCell ref="Q1:T1"/>
    <mergeCell ref="V1:Y1"/>
    <mergeCell ref="G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BD5B4-AE16-4908-A01D-7D5636709E29}">
  <dimension ref="A1:AQ34"/>
  <sheetViews>
    <sheetView zoomScale="54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RowHeight="14.4" x14ac:dyDescent="0.3"/>
  <cols>
    <col min="1" max="1" width="37.21875" bestFit="1" customWidth="1"/>
    <col min="2" max="2" width="13.77734375" style="239" bestFit="1" customWidth="1"/>
    <col min="3" max="3" width="12.5546875" style="239" bestFit="1" customWidth="1"/>
    <col min="4" max="4" width="13.6640625" style="239" customWidth="1"/>
    <col min="5" max="5" width="12.5546875" style="239" bestFit="1" customWidth="1"/>
    <col min="6" max="6" width="12.88671875" style="239" bestFit="1" customWidth="1"/>
    <col min="7" max="7" width="2.5546875" customWidth="1"/>
    <col min="8" max="8" width="14.6640625" style="239" customWidth="1"/>
    <col min="9" max="9" width="12" style="239" customWidth="1"/>
    <col min="10" max="10" width="12.33203125" style="239" customWidth="1"/>
    <col min="11" max="11" width="12.5546875" style="239" customWidth="1"/>
    <col min="12" max="12" width="12.88671875" style="239" customWidth="1"/>
    <col min="13" max="13" width="2.5546875" customWidth="1"/>
    <col min="14" max="14" width="11.5546875" customWidth="1"/>
    <col min="15" max="18" width="10.77734375" customWidth="1"/>
    <col min="19" max="19" width="2.5546875" customWidth="1"/>
    <col min="20" max="23" width="9.21875" style="227" customWidth="1"/>
    <col min="24" max="24" width="9.6640625" style="227" customWidth="1"/>
    <col min="25" max="25" width="2.5546875" customWidth="1"/>
    <col min="26" max="26" width="9.6640625" customWidth="1"/>
    <col min="27" max="28" width="11.44140625" customWidth="1"/>
    <col min="29" max="30" width="12.6640625" customWidth="1"/>
    <col min="31" max="31" width="2.5546875" customWidth="1"/>
    <col min="32" max="36" width="12.6640625" customWidth="1"/>
    <col min="37" max="37" width="1.88671875" customWidth="1"/>
    <col min="38" max="38" width="14.88671875" style="239" customWidth="1"/>
    <col min="39" max="39" width="14.44140625" style="239" customWidth="1"/>
    <col min="40" max="40" width="12.21875" style="385" customWidth="1"/>
    <col min="41" max="41" width="15.6640625" style="385" customWidth="1"/>
    <col min="42" max="42" width="17.44140625" style="385" customWidth="1"/>
  </cols>
  <sheetData>
    <row r="1" spans="1:42" ht="16.2" thickBot="1" x14ac:dyDescent="0.35">
      <c r="A1" s="14"/>
      <c r="B1" s="229"/>
      <c r="C1" s="229"/>
      <c r="D1" s="229"/>
      <c r="E1" s="229"/>
      <c r="F1" s="229"/>
      <c r="G1" s="61"/>
      <c r="H1" s="229"/>
      <c r="I1" s="229"/>
      <c r="J1" s="229"/>
      <c r="K1" s="229"/>
      <c r="L1" s="229"/>
      <c r="M1" s="61"/>
      <c r="N1" s="61"/>
      <c r="O1" s="61"/>
      <c r="P1" s="61"/>
      <c r="Q1" s="61"/>
      <c r="R1" s="61"/>
      <c r="S1" s="61"/>
      <c r="T1" s="278"/>
      <c r="U1" s="278"/>
      <c r="V1" s="278"/>
      <c r="W1" s="278"/>
      <c r="X1" s="278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2"/>
    </row>
    <row r="2" spans="1:42" s="227" customFormat="1" ht="15.6" x14ac:dyDescent="0.3">
      <c r="A2" s="81" t="s">
        <v>120</v>
      </c>
      <c r="B2" s="224" t="s">
        <v>1</v>
      </c>
      <c r="C2" s="225" t="s">
        <v>2</v>
      </c>
      <c r="D2" s="225" t="s">
        <v>3</v>
      </c>
      <c r="E2" s="225" t="s">
        <v>4</v>
      </c>
      <c r="F2" s="225" t="s">
        <v>59</v>
      </c>
      <c r="G2" s="226"/>
      <c r="H2" s="224" t="s">
        <v>5</v>
      </c>
      <c r="I2" s="225" t="s">
        <v>6</v>
      </c>
      <c r="J2" s="225" t="s">
        <v>7</v>
      </c>
      <c r="K2" s="225" t="s">
        <v>8</v>
      </c>
      <c r="L2" s="244" t="s">
        <v>60</v>
      </c>
      <c r="M2" s="226"/>
      <c r="N2" s="224" t="s">
        <v>9</v>
      </c>
      <c r="O2" s="225" t="s">
        <v>10</v>
      </c>
      <c r="P2" s="225" t="s">
        <v>11</v>
      </c>
      <c r="Q2" s="225" t="s">
        <v>12</v>
      </c>
      <c r="R2" s="225" t="s">
        <v>17</v>
      </c>
      <c r="S2" s="226"/>
      <c r="T2" s="224" t="s">
        <v>13</v>
      </c>
      <c r="U2" s="225" t="s">
        <v>14</v>
      </c>
      <c r="V2" s="225" t="s">
        <v>15</v>
      </c>
      <c r="W2" s="225" t="s">
        <v>16</v>
      </c>
      <c r="X2" s="225" t="s">
        <v>18</v>
      </c>
      <c r="Y2" s="226"/>
      <c r="Z2" s="225" t="s">
        <v>19</v>
      </c>
      <c r="AA2" s="225" t="s">
        <v>20</v>
      </c>
      <c r="AB2" s="225" t="s">
        <v>21</v>
      </c>
      <c r="AC2" s="225" t="s">
        <v>22</v>
      </c>
      <c r="AD2" s="225" t="s">
        <v>28</v>
      </c>
      <c r="AE2" s="226"/>
      <c r="AF2" s="225" t="s">
        <v>355</v>
      </c>
      <c r="AG2" s="225" t="s">
        <v>356</v>
      </c>
      <c r="AH2" s="225" t="s">
        <v>357</v>
      </c>
      <c r="AI2" s="225" t="s">
        <v>358</v>
      </c>
      <c r="AJ2" s="225" t="s">
        <v>359</v>
      </c>
      <c r="AK2" s="321"/>
      <c r="AL2" s="388" t="s">
        <v>59</v>
      </c>
      <c r="AM2" s="225" t="s">
        <v>60</v>
      </c>
      <c r="AN2" s="225" t="s">
        <v>17</v>
      </c>
      <c r="AO2" s="225" t="s">
        <v>18</v>
      </c>
      <c r="AP2" s="389" t="s">
        <v>28</v>
      </c>
    </row>
    <row r="3" spans="1:42" ht="15.6" x14ac:dyDescent="0.3">
      <c r="A3" s="24" t="s">
        <v>89</v>
      </c>
      <c r="B3" s="230"/>
      <c r="C3" s="231"/>
      <c r="D3" s="231"/>
      <c r="E3" s="231"/>
      <c r="F3" s="231"/>
      <c r="G3" s="82"/>
      <c r="H3" s="230"/>
      <c r="I3" s="245"/>
      <c r="J3" s="245"/>
      <c r="K3" s="245"/>
      <c r="L3" s="246"/>
      <c r="M3" s="212"/>
      <c r="N3" s="3"/>
      <c r="O3" s="2"/>
      <c r="P3" s="2"/>
      <c r="Q3" s="2"/>
      <c r="R3" s="2"/>
      <c r="S3" s="82"/>
      <c r="T3" s="279"/>
      <c r="U3" s="280"/>
      <c r="V3" s="281"/>
      <c r="W3" s="282"/>
      <c r="X3" s="281"/>
      <c r="Y3" s="82"/>
      <c r="Z3" s="16"/>
      <c r="AA3" s="16"/>
      <c r="AB3" s="296"/>
      <c r="AC3" s="16"/>
      <c r="AD3" s="16"/>
      <c r="AE3" s="82"/>
      <c r="AF3" s="468"/>
      <c r="AG3" s="16"/>
      <c r="AH3" s="16"/>
      <c r="AI3" s="16"/>
      <c r="AJ3" s="16"/>
      <c r="AK3" s="17"/>
      <c r="AL3" s="390"/>
      <c r="AM3" s="2"/>
      <c r="AN3" s="9"/>
      <c r="AO3" s="9"/>
      <c r="AP3" s="391"/>
    </row>
    <row r="4" spans="1:42" ht="15.6" x14ac:dyDescent="0.3">
      <c r="A4" s="15" t="s">
        <v>90</v>
      </c>
      <c r="B4" s="232">
        <v>82.004059250000012</v>
      </c>
      <c r="C4" s="231">
        <v>152.30024065000001</v>
      </c>
      <c r="D4" s="231">
        <v>88</v>
      </c>
      <c r="E4" s="231">
        <v>177</v>
      </c>
      <c r="F4" s="231">
        <v>499.30429990000005</v>
      </c>
      <c r="G4" s="82"/>
      <c r="H4" s="232">
        <v>46.783495000000002</v>
      </c>
      <c r="I4" s="231">
        <v>21</v>
      </c>
      <c r="J4" s="231">
        <v>82.171098000000001</v>
      </c>
      <c r="K4" s="247">
        <v>534</v>
      </c>
      <c r="L4" s="249">
        <v>683.95459299999993</v>
      </c>
      <c r="M4" s="212"/>
      <c r="N4" s="3">
        <v>110.55178599999999</v>
      </c>
      <c r="O4" s="2">
        <v>107</v>
      </c>
      <c r="P4" s="2">
        <v>68.838446200000007</v>
      </c>
      <c r="Q4" s="2">
        <v>132.28836480000001</v>
      </c>
      <c r="R4" s="250">
        <v>418.67859700000002</v>
      </c>
      <c r="S4" s="82"/>
      <c r="T4" s="279">
        <v>39.092675999999997</v>
      </c>
      <c r="U4" s="280">
        <v>131.26396320000001</v>
      </c>
      <c r="V4" s="281">
        <v>150.90801999999999</v>
      </c>
      <c r="W4" s="282">
        <v>47.014184399999998</v>
      </c>
      <c r="X4" s="281">
        <v>368.27884359999996</v>
      </c>
      <c r="Y4" s="82"/>
      <c r="Z4" s="16">
        <v>64.118654000000006</v>
      </c>
      <c r="AA4" s="16">
        <v>74.190389999999994</v>
      </c>
      <c r="AB4" s="16">
        <v>33.036933329999997</v>
      </c>
      <c r="AC4" s="16">
        <v>50.127166670000001</v>
      </c>
      <c r="AD4" s="16">
        <v>221.47314399999999</v>
      </c>
      <c r="AE4" s="82"/>
      <c r="AF4" s="468">
        <v>80.400000000000006</v>
      </c>
      <c r="AG4" s="16"/>
      <c r="AH4" s="16"/>
      <c r="AI4" s="16"/>
      <c r="AJ4" s="16"/>
      <c r="AK4" s="17"/>
      <c r="AL4" s="390">
        <v>499.30429990000005</v>
      </c>
      <c r="AM4" s="2">
        <v>683.95459299999993</v>
      </c>
      <c r="AN4" s="9">
        <v>418.67859700000002</v>
      </c>
      <c r="AO4" s="9">
        <v>368.27884359999996</v>
      </c>
      <c r="AP4" s="391">
        <v>221.47314399999999</v>
      </c>
    </row>
    <row r="5" spans="1:42" ht="15.6" x14ac:dyDescent="0.3">
      <c r="A5" s="15" t="s">
        <v>91</v>
      </c>
      <c r="B5" s="232">
        <v>116.508314</v>
      </c>
      <c r="C5" s="231">
        <v>161.24719899999999</v>
      </c>
      <c r="D5" s="231">
        <v>99</v>
      </c>
      <c r="E5" s="231">
        <v>235.04283559999999</v>
      </c>
      <c r="F5" s="231">
        <v>611.79834860000005</v>
      </c>
      <c r="G5" s="82"/>
      <c r="H5" s="232">
        <v>42.302399999999999</v>
      </c>
      <c r="I5" s="231">
        <v>32.627971199999998</v>
      </c>
      <c r="J5" s="231">
        <v>140.81596400000001</v>
      </c>
      <c r="K5" s="247">
        <v>203</v>
      </c>
      <c r="L5" s="249">
        <v>418.74633519999998</v>
      </c>
      <c r="M5" s="212"/>
      <c r="N5" s="3">
        <v>161.15953640000001</v>
      </c>
      <c r="O5" s="2">
        <v>328</v>
      </c>
      <c r="P5" s="2">
        <v>137.06016500000001</v>
      </c>
      <c r="Q5" s="2">
        <v>413.227194</v>
      </c>
      <c r="R5" s="250">
        <v>1039.4468953999999</v>
      </c>
      <c r="S5" s="82"/>
      <c r="T5" s="279">
        <v>70.990524999999991</v>
      </c>
      <c r="U5" s="280">
        <v>179</v>
      </c>
      <c r="V5" s="281">
        <v>128.166965</v>
      </c>
      <c r="W5" s="282">
        <v>141</v>
      </c>
      <c r="X5" s="281">
        <v>519.15749000000005</v>
      </c>
      <c r="Y5" s="82"/>
      <c r="Z5" s="16">
        <v>100.182261</v>
      </c>
      <c r="AA5" s="16">
        <v>377.52040399999998</v>
      </c>
      <c r="AB5" s="16">
        <v>250.092941</v>
      </c>
      <c r="AC5" s="16">
        <v>314.842872</v>
      </c>
      <c r="AD5" s="16">
        <v>1042.6384779999998</v>
      </c>
      <c r="AE5" s="82"/>
      <c r="AF5" s="468">
        <v>152.30000000000001</v>
      </c>
      <c r="AG5" s="16"/>
      <c r="AH5" s="16"/>
      <c r="AI5" s="16"/>
      <c r="AJ5" s="16"/>
      <c r="AK5" s="17"/>
      <c r="AL5" s="390">
        <v>611.79834860000005</v>
      </c>
      <c r="AM5" s="2">
        <v>418.74633519999998</v>
      </c>
      <c r="AN5" s="9">
        <v>1039.4468953999999</v>
      </c>
      <c r="AO5" s="9">
        <v>519.15749000000005</v>
      </c>
      <c r="AP5" s="391">
        <v>1042.6384779999998</v>
      </c>
    </row>
    <row r="6" spans="1:42" ht="15.6" x14ac:dyDescent="0.3">
      <c r="A6" s="15" t="s">
        <v>92</v>
      </c>
      <c r="B6" s="232">
        <v>16.69218</v>
      </c>
      <c r="C6" s="231">
        <v>3.2275050000000003</v>
      </c>
      <c r="D6" s="231">
        <v>2</v>
      </c>
      <c r="E6" s="231">
        <v>1</v>
      </c>
      <c r="F6" s="231">
        <v>22.919685000000001</v>
      </c>
      <c r="G6" s="82"/>
      <c r="H6" s="232">
        <v>8.3213699999999999</v>
      </c>
      <c r="I6" s="231">
        <v>0</v>
      </c>
      <c r="J6" s="231">
        <v>0</v>
      </c>
      <c r="K6" s="231">
        <v>15</v>
      </c>
      <c r="L6" s="249">
        <v>23.321370000000002</v>
      </c>
      <c r="M6" s="212"/>
      <c r="N6" s="3">
        <v>0</v>
      </c>
      <c r="O6" s="2">
        <v>0</v>
      </c>
      <c r="P6" s="2">
        <v>0</v>
      </c>
      <c r="Q6" s="2">
        <v>0</v>
      </c>
      <c r="R6" s="332">
        <v>0</v>
      </c>
      <c r="S6" s="82"/>
      <c r="T6" s="279">
        <v>0</v>
      </c>
      <c r="U6" s="280">
        <v>18.648768</v>
      </c>
      <c r="V6" s="281">
        <v>17.838570000000001</v>
      </c>
      <c r="W6" s="282">
        <v>0</v>
      </c>
      <c r="X6" s="281">
        <v>36.487338000000001</v>
      </c>
      <c r="Y6" s="82"/>
      <c r="Z6" s="16">
        <v>0</v>
      </c>
      <c r="AA6" s="16">
        <v>873.73</v>
      </c>
      <c r="AB6" s="336">
        <v>-0.03</v>
      </c>
      <c r="AC6" s="16">
        <v>0</v>
      </c>
      <c r="AD6" s="16">
        <v>873.7</v>
      </c>
      <c r="AE6" s="82"/>
      <c r="AF6" s="468"/>
      <c r="AG6" s="16"/>
      <c r="AH6" s="16"/>
      <c r="AI6" s="16"/>
      <c r="AJ6" s="16"/>
      <c r="AK6" s="17"/>
      <c r="AL6" s="390">
        <v>22.919685000000001</v>
      </c>
      <c r="AM6" s="2">
        <v>23.321370000000002</v>
      </c>
      <c r="AN6" s="9">
        <v>0</v>
      </c>
      <c r="AO6" s="9">
        <v>36.487338000000001</v>
      </c>
      <c r="AP6" s="391">
        <v>873.7</v>
      </c>
    </row>
    <row r="7" spans="1:42" ht="16.2" thickBot="1" x14ac:dyDescent="0.35">
      <c r="A7" s="19" t="s">
        <v>93</v>
      </c>
      <c r="B7" s="6">
        <v>215.20455325</v>
      </c>
      <c r="C7" s="5">
        <v>316.77494465000001</v>
      </c>
      <c r="D7" s="5">
        <v>189</v>
      </c>
      <c r="E7" s="5">
        <v>413.04283559999999</v>
      </c>
      <c r="F7" s="254">
        <v>1134.0223335000001</v>
      </c>
      <c r="G7" s="83"/>
      <c r="H7" s="5">
        <v>97.407264999999995</v>
      </c>
      <c r="I7" s="333">
        <v>53.627971199999998</v>
      </c>
      <c r="J7" s="5">
        <v>222.98706200000001</v>
      </c>
      <c r="K7" s="5">
        <v>752</v>
      </c>
      <c r="L7" s="254">
        <v>1126.0222982</v>
      </c>
      <c r="M7" s="213"/>
      <c r="N7" s="5">
        <v>271.71132239999997</v>
      </c>
      <c r="O7" s="333">
        <v>435</v>
      </c>
      <c r="P7" s="5">
        <v>205.8986112</v>
      </c>
      <c r="Q7" s="5">
        <v>545.51555880000001</v>
      </c>
      <c r="R7" s="333">
        <v>1458.1254924</v>
      </c>
      <c r="S7" s="83"/>
      <c r="T7" s="283">
        <v>110.08320099999999</v>
      </c>
      <c r="U7" s="368">
        <v>328.91273120000005</v>
      </c>
      <c r="V7" s="285">
        <v>296.91355499999997</v>
      </c>
      <c r="W7" s="284">
        <v>188.0141844</v>
      </c>
      <c r="X7" s="284">
        <v>923.92367160000003</v>
      </c>
      <c r="Y7" s="83"/>
      <c r="Z7" s="21">
        <v>164.300915</v>
      </c>
      <c r="AA7" s="21">
        <v>1325.4407940000001</v>
      </c>
      <c r="AB7" s="21">
        <v>283.09987433000003</v>
      </c>
      <c r="AC7" s="21">
        <v>364.97003867000001</v>
      </c>
      <c r="AD7" s="21">
        <v>2137.8116220000002</v>
      </c>
      <c r="AE7" s="83"/>
      <c r="AF7" s="21">
        <v>232.70000000000002</v>
      </c>
      <c r="AG7" s="21">
        <v>0</v>
      </c>
      <c r="AH7" s="21">
        <v>0</v>
      </c>
      <c r="AI7" s="21">
        <v>0</v>
      </c>
      <c r="AJ7" s="21">
        <v>0</v>
      </c>
      <c r="AK7" s="22"/>
      <c r="AL7" s="392">
        <v>1134.0223335000003</v>
      </c>
      <c r="AM7" s="386">
        <v>1126.0222982</v>
      </c>
      <c r="AN7" s="387">
        <v>1458.1254924</v>
      </c>
      <c r="AO7" s="387">
        <v>923.92367160000003</v>
      </c>
      <c r="AP7" s="393">
        <v>2137.8116220000002</v>
      </c>
    </row>
    <row r="8" spans="1:42" s="271" customFormat="1" ht="16.2" thickTop="1" x14ac:dyDescent="0.3">
      <c r="A8" s="297"/>
      <c r="B8" s="264"/>
      <c r="C8" s="265"/>
      <c r="D8" s="265"/>
      <c r="E8" s="265"/>
      <c r="F8" s="265"/>
      <c r="G8" s="266"/>
      <c r="H8" s="264"/>
      <c r="I8" s="265"/>
      <c r="J8" s="265"/>
      <c r="K8" s="265"/>
      <c r="L8" s="267"/>
      <c r="M8" s="268"/>
      <c r="N8" s="269"/>
      <c r="O8" s="263"/>
      <c r="P8" s="263"/>
      <c r="Q8" s="263"/>
      <c r="R8" s="263"/>
      <c r="S8" s="266"/>
      <c r="T8" s="286"/>
      <c r="U8" s="287"/>
      <c r="V8" s="288"/>
      <c r="W8" s="288"/>
      <c r="X8" s="288"/>
      <c r="Y8" s="266"/>
      <c r="Z8" s="263"/>
      <c r="AA8" s="263"/>
      <c r="AB8" s="263"/>
      <c r="AC8" s="263"/>
      <c r="AD8" s="263"/>
      <c r="AE8" s="266"/>
      <c r="AF8" s="269"/>
      <c r="AG8" s="263"/>
      <c r="AH8" s="263"/>
      <c r="AI8" s="263"/>
      <c r="AJ8" s="263"/>
      <c r="AK8" s="270"/>
      <c r="AL8" s="394"/>
      <c r="AM8" s="395"/>
      <c r="AN8" s="263"/>
      <c r="AO8" s="263"/>
      <c r="AP8" s="396"/>
    </row>
    <row r="9" spans="1:42" ht="15.6" x14ac:dyDescent="0.3">
      <c r="A9" s="24" t="s">
        <v>94</v>
      </c>
      <c r="B9" s="233"/>
      <c r="C9" s="234"/>
      <c r="D9" s="234"/>
      <c r="E9" s="234"/>
      <c r="F9" s="234"/>
      <c r="G9" s="84"/>
      <c r="H9" s="233"/>
      <c r="I9" s="234"/>
      <c r="J9" s="234"/>
      <c r="K9" s="251"/>
      <c r="L9" s="252"/>
      <c r="M9" s="214"/>
      <c r="N9" s="23"/>
      <c r="O9" s="9"/>
      <c r="P9" s="9"/>
      <c r="Q9" s="9"/>
      <c r="R9" s="9"/>
      <c r="S9" s="84"/>
      <c r="T9" s="289"/>
      <c r="U9" s="290"/>
      <c r="V9" s="291"/>
      <c r="W9" s="291"/>
      <c r="X9" s="291"/>
      <c r="Y9" s="84"/>
      <c r="Z9" s="9"/>
      <c r="AA9" s="9"/>
      <c r="AB9" s="9"/>
      <c r="AD9" s="9"/>
      <c r="AE9" s="84"/>
      <c r="AF9" s="23"/>
      <c r="AG9" s="9"/>
      <c r="AH9" s="9"/>
      <c r="AI9" s="9"/>
      <c r="AJ9" s="9"/>
      <c r="AK9" s="18"/>
      <c r="AL9" s="390"/>
      <c r="AM9" s="2"/>
      <c r="AN9" s="9"/>
      <c r="AO9" s="9"/>
      <c r="AP9" s="391"/>
    </row>
    <row r="10" spans="1:42" ht="15.6" x14ac:dyDescent="0.3">
      <c r="A10" s="15" t="s">
        <v>90</v>
      </c>
      <c r="B10" s="232">
        <v>101.8</v>
      </c>
      <c r="C10" s="231">
        <v>89</v>
      </c>
      <c r="D10" s="231">
        <v>69</v>
      </c>
      <c r="E10" s="231">
        <v>148</v>
      </c>
      <c r="F10" s="231">
        <v>407.8</v>
      </c>
      <c r="G10" s="84"/>
      <c r="H10" s="232">
        <v>0</v>
      </c>
      <c r="I10" s="231">
        <v>166</v>
      </c>
      <c r="J10" s="231">
        <v>0</v>
      </c>
      <c r="K10" s="247">
        <v>91</v>
      </c>
      <c r="L10" s="249">
        <v>257</v>
      </c>
      <c r="M10" s="214"/>
      <c r="N10" s="23">
        <v>0</v>
      </c>
      <c r="O10" s="9">
        <v>0</v>
      </c>
      <c r="P10" s="9">
        <v>0</v>
      </c>
      <c r="Q10" s="9">
        <v>0</v>
      </c>
      <c r="R10" s="9">
        <v>0</v>
      </c>
      <c r="S10" s="84"/>
      <c r="T10" s="289">
        <v>73.8</v>
      </c>
      <c r="U10" s="290">
        <v>7</v>
      </c>
      <c r="V10" s="291">
        <v>0</v>
      </c>
      <c r="W10" s="291">
        <v>0</v>
      </c>
      <c r="X10" s="291">
        <v>80.8</v>
      </c>
      <c r="Y10" s="84"/>
      <c r="Z10" s="9">
        <v>0</v>
      </c>
      <c r="AA10" s="9">
        <v>101</v>
      </c>
      <c r="AB10" s="9">
        <v>0</v>
      </c>
      <c r="AC10" s="9">
        <v>77</v>
      </c>
      <c r="AD10" s="9">
        <v>178</v>
      </c>
      <c r="AE10" s="84"/>
      <c r="AF10" s="23">
        <v>0</v>
      </c>
      <c r="AG10" s="9"/>
      <c r="AH10" s="9"/>
      <c r="AI10" s="9"/>
      <c r="AJ10" s="9"/>
      <c r="AK10" s="18"/>
      <c r="AL10" s="390">
        <v>407.8</v>
      </c>
      <c r="AM10" s="2">
        <v>257</v>
      </c>
      <c r="AN10" s="9">
        <v>0</v>
      </c>
      <c r="AO10" s="9">
        <v>80.8</v>
      </c>
      <c r="AP10" s="391">
        <v>178</v>
      </c>
    </row>
    <row r="11" spans="1:42" ht="15.6" x14ac:dyDescent="0.3">
      <c r="A11" s="15" t="s">
        <v>91</v>
      </c>
      <c r="B11" s="232">
        <v>58</v>
      </c>
      <c r="C11" s="231">
        <v>0</v>
      </c>
      <c r="D11" s="231">
        <v>721</v>
      </c>
      <c r="E11" s="231">
        <v>0</v>
      </c>
      <c r="F11" s="231">
        <v>779</v>
      </c>
      <c r="G11" s="84"/>
      <c r="H11" s="232">
        <v>0</v>
      </c>
      <c r="I11" s="231">
        <v>40</v>
      </c>
      <c r="J11" s="231">
        <v>0</v>
      </c>
      <c r="K11" s="247">
        <v>597</v>
      </c>
      <c r="L11" s="249">
        <v>637</v>
      </c>
      <c r="M11" s="214"/>
      <c r="N11" s="23">
        <v>243</v>
      </c>
      <c r="O11" s="9">
        <v>57</v>
      </c>
      <c r="P11" s="9">
        <v>247</v>
      </c>
      <c r="Q11" s="9">
        <v>0</v>
      </c>
      <c r="R11" s="9">
        <v>547</v>
      </c>
      <c r="S11" s="84"/>
      <c r="T11" s="289">
        <v>0</v>
      </c>
      <c r="U11" s="290">
        <v>0</v>
      </c>
      <c r="V11" s="291">
        <v>435.8</v>
      </c>
      <c r="W11" s="291">
        <v>0</v>
      </c>
      <c r="X11" s="291">
        <v>435.8</v>
      </c>
      <c r="Y11" s="84"/>
      <c r="Z11" s="9">
        <v>0</v>
      </c>
      <c r="AA11" s="9">
        <v>1726</v>
      </c>
      <c r="AB11" s="9">
        <v>723</v>
      </c>
      <c r="AC11" s="9">
        <v>98</v>
      </c>
      <c r="AD11" s="9">
        <v>2547</v>
      </c>
      <c r="AE11" s="84"/>
      <c r="AF11" s="23">
        <v>0</v>
      </c>
      <c r="AG11" s="9"/>
      <c r="AH11" s="9"/>
      <c r="AI11" s="9"/>
      <c r="AJ11" s="9"/>
      <c r="AK11" s="18"/>
      <c r="AL11" s="390">
        <v>779</v>
      </c>
      <c r="AM11" s="2">
        <v>637</v>
      </c>
      <c r="AN11" s="9">
        <v>547</v>
      </c>
      <c r="AO11" s="9">
        <v>435.8</v>
      </c>
      <c r="AP11" s="391">
        <v>2547</v>
      </c>
    </row>
    <row r="12" spans="1:42" ht="15.6" x14ac:dyDescent="0.3">
      <c r="A12" s="15" t="s">
        <v>92</v>
      </c>
      <c r="B12" s="232">
        <v>0</v>
      </c>
      <c r="C12" s="231">
        <v>0</v>
      </c>
      <c r="D12" s="231">
        <v>0</v>
      </c>
      <c r="E12" s="231">
        <v>0</v>
      </c>
      <c r="F12" s="231">
        <v>0</v>
      </c>
      <c r="G12" s="84"/>
      <c r="H12" s="232">
        <v>0</v>
      </c>
      <c r="I12" s="231">
        <v>0</v>
      </c>
      <c r="J12" s="231">
        <v>0</v>
      </c>
      <c r="K12" s="253">
        <v>0</v>
      </c>
      <c r="L12" s="249">
        <v>0</v>
      </c>
      <c r="M12" s="214"/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84"/>
      <c r="T12" s="289">
        <v>0</v>
      </c>
      <c r="U12" s="290">
        <v>0</v>
      </c>
      <c r="V12" s="291">
        <v>0</v>
      </c>
      <c r="W12" s="291">
        <v>0</v>
      </c>
      <c r="X12" s="291">
        <v>0</v>
      </c>
      <c r="Y12" s="84"/>
      <c r="Z12" s="9">
        <v>0</v>
      </c>
      <c r="AA12" s="9">
        <v>873.7</v>
      </c>
      <c r="AB12" s="9">
        <v>0</v>
      </c>
      <c r="AC12" s="9">
        <v>0</v>
      </c>
      <c r="AD12" s="9">
        <v>873.7</v>
      </c>
      <c r="AE12" s="84"/>
      <c r="AF12" s="23">
        <v>0</v>
      </c>
      <c r="AG12" s="9"/>
      <c r="AH12" s="9"/>
      <c r="AI12" s="9"/>
      <c r="AJ12" s="9"/>
      <c r="AK12" s="18"/>
      <c r="AL12" s="390">
        <v>0</v>
      </c>
      <c r="AM12" s="2">
        <v>0</v>
      </c>
      <c r="AN12" s="9">
        <v>0</v>
      </c>
      <c r="AO12" s="9">
        <v>0</v>
      </c>
      <c r="AP12" s="391">
        <v>873.7</v>
      </c>
    </row>
    <row r="13" spans="1:42" ht="16.2" thickBot="1" x14ac:dyDescent="0.35">
      <c r="A13" s="19" t="s">
        <v>121</v>
      </c>
      <c r="B13" s="6">
        <v>159.80000000000001</v>
      </c>
      <c r="C13" s="5">
        <v>89</v>
      </c>
      <c r="D13" s="5">
        <v>790</v>
      </c>
      <c r="E13" s="5">
        <v>148</v>
      </c>
      <c r="F13" s="254">
        <v>1186.8</v>
      </c>
      <c r="G13" s="5">
        <v>0</v>
      </c>
      <c r="H13" s="6">
        <v>0</v>
      </c>
      <c r="I13" s="5">
        <v>206</v>
      </c>
      <c r="J13" s="5">
        <v>0</v>
      </c>
      <c r="K13" s="5">
        <v>688</v>
      </c>
      <c r="L13" s="334">
        <v>894</v>
      </c>
      <c r="M13" s="213"/>
      <c r="N13" s="20">
        <v>243</v>
      </c>
      <c r="O13" s="21">
        <v>57</v>
      </c>
      <c r="P13" s="21">
        <v>247</v>
      </c>
      <c r="Q13" s="21">
        <v>0</v>
      </c>
      <c r="R13" s="21">
        <v>547</v>
      </c>
      <c r="S13" s="83"/>
      <c r="T13" s="283">
        <v>73.8</v>
      </c>
      <c r="U13" s="284">
        <v>7</v>
      </c>
      <c r="V13" s="285">
        <v>435.8</v>
      </c>
      <c r="W13" s="285">
        <v>0</v>
      </c>
      <c r="X13" s="285">
        <v>516.6</v>
      </c>
      <c r="Y13" s="83"/>
      <c r="Z13" s="21">
        <v>0</v>
      </c>
      <c r="AA13" s="21">
        <v>2700.7</v>
      </c>
      <c r="AB13" s="21">
        <v>723</v>
      </c>
      <c r="AC13" s="21">
        <v>175</v>
      </c>
      <c r="AD13" s="21">
        <v>3598.7</v>
      </c>
      <c r="AE13" s="83"/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2"/>
      <c r="AL13" s="392">
        <v>1186.8</v>
      </c>
      <c r="AM13" s="386">
        <v>894</v>
      </c>
      <c r="AN13" s="387">
        <v>547</v>
      </c>
      <c r="AO13" s="387">
        <v>516.6</v>
      </c>
      <c r="AP13" s="393">
        <v>3598.7</v>
      </c>
    </row>
    <row r="14" spans="1:42" ht="13.5" customHeight="1" thickTop="1" x14ac:dyDescent="0.3">
      <c r="A14" s="24"/>
      <c r="B14" s="684"/>
      <c r="C14" s="685"/>
      <c r="D14" s="685"/>
      <c r="E14" s="685"/>
      <c r="F14" s="686"/>
      <c r="G14" s="83"/>
      <c r="H14" s="681"/>
      <c r="I14" s="682"/>
      <c r="J14" s="682"/>
      <c r="K14" s="682"/>
      <c r="L14" s="683"/>
      <c r="M14" s="213"/>
      <c r="N14" s="687"/>
      <c r="O14" s="688"/>
      <c r="P14" s="688"/>
      <c r="Q14" s="688"/>
      <c r="R14" s="689"/>
      <c r="S14" s="83"/>
      <c r="T14" s="292"/>
      <c r="U14" s="293"/>
      <c r="V14" s="294"/>
      <c r="W14" s="294"/>
      <c r="X14" s="294"/>
      <c r="Y14" s="83"/>
      <c r="Z14" s="80"/>
      <c r="AA14" s="80"/>
      <c r="AB14" s="80"/>
      <c r="AC14" s="80"/>
      <c r="AD14" s="80"/>
      <c r="AE14" s="83"/>
      <c r="AF14" s="469"/>
      <c r="AG14" s="80"/>
      <c r="AH14" s="80"/>
      <c r="AI14" s="80"/>
      <c r="AJ14" s="80"/>
      <c r="AK14" s="22"/>
      <c r="AL14" s="390"/>
      <c r="AM14" s="2"/>
      <c r="AN14" s="9"/>
      <c r="AO14" s="9"/>
      <c r="AP14" s="391"/>
    </row>
    <row r="15" spans="1:42" ht="15.6" x14ac:dyDescent="0.3">
      <c r="A15" s="24" t="s">
        <v>270</v>
      </c>
      <c r="B15" s="233"/>
      <c r="C15" s="234"/>
      <c r="D15" s="234"/>
      <c r="E15" s="234"/>
      <c r="F15" s="234"/>
      <c r="G15" s="84"/>
      <c r="H15" s="233"/>
      <c r="I15" s="234"/>
      <c r="J15" s="234"/>
      <c r="K15" s="234"/>
      <c r="L15" s="252"/>
      <c r="M15" s="214"/>
      <c r="N15" s="23"/>
      <c r="O15" s="9"/>
      <c r="P15" s="9"/>
      <c r="Q15" s="9"/>
      <c r="R15" s="9"/>
      <c r="S15" s="84"/>
      <c r="T15" s="289"/>
      <c r="U15" s="290"/>
      <c r="V15" s="291"/>
      <c r="W15" s="291"/>
      <c r="X15" s="291"/>
      <c r="Y15" s="84"/>
      <c r="Z15" s="9"/>
      <c r="AA15" s="9"/>
      <c r="AB15" s="9"/>
      <c r="AD15" s="9"/>
      <c r="AE15" s="84"/>
      <c r="AF15" s="23"/>
      <c r="AG15" s="9"/>
      <c r="AH15" s="9"/>
      <c r="AI15" s="9"/>
      <c r="AJ15" s="9"/>
      <c r="AK15" s="18"/>
      <c r="AL15" s="390"/>
      <c r="AM15" s="2"/>
      <c r="AN15" s="9"/>
      <c r="AO15" s="9"/>
      <c r="AP15" s="391"/>
    </row>
    <row r="16" spans="1:42" ht="15.6" x14ac:dyDescent="0.3">
      <c r="A16" s="15" t="s">
        <v>90</v>
      </c>
      <c r="B16" s="232">
        <v>526.49405723000007</v>
      </c>
      <c r="C16" s="231">
        <v>481.43821172000008</v>
      </c>
      <c r="D16" s="231">
        <v>468.22012802000017</v>
      </c>
      <c r="E16" s="231">
        <v>442.77365715696078</v>
      </c>
      <c r="F16" s="231">
        <v>442.77365715696078</v>
      </c>
      <c r="G16" s="322"/>
      <c r="H16" s="232">
        <v>436.98197384000008</v>
      </c>
      <c r="I16" s="231">
        <v>393.48413978000013</v>
      </c>
      <c r="J16" s="231">
        <v>398.67332310675329</v>
      </c>
      <c r="K16" s="231">
        <v>369.3077251909703</v>
      </c>
      <c r="L16" s="249">
        <v>369.3077251909703</v>
      </c>
      <c r="M16" s="323"/>
      <c r="N16" s="3">
        <v>333.59453576097019</v>
      </c>
      <c r="O16" s="4">
        <v>313.37861329096995</v>
      </c>
      <c r="P16" s="4">
        <v>297.07689089096999</v>
      </c>
      <c r="Q16" s="4">
        <v>291.53997125999996</v>
      </c>
      <c r="R16" s="4">
        <v>291.53997125999996</v>
      </c>
      <c r="S16" s="322"/>
      <c r="T16" s="279">
        <v>271.48747082</v>
      </c>
      <c r="U16" s="309">
        <v>211.64516245999997</v>
      </c>
      <c r="V16" s="310">
        <v>170.76431937999999</v>
      </c>
      <c r="W16" s="325">
        <v>154.41890103999998</v>
      </c>
      <c r="X16" s="310">
        <v>154.41890103999998</v>
      </c>
      <c r="Y16" s="322"/>
      <c r="Z16" s="326">
        <v>131.48556326999997</v>
      </c>
      <c r="AA16" s="326">
        <v>116.47483020000003</v>
      </c>
      <c r="AB16" s="326">
        <v>110.55509176000001</v>
      </c>
      <c r="AC16" s="9">
        <v>103.50861402000001</v>
      </c>
      <c r="AD16" s="249">
        <v>103.50861402000001</v>
      </c>
      <c r="AE16" s="322"/>
      <c r="AF16" s="232">
        <v>100.1</v>
      </c>
      <c r="AG16" s="247"/>
      <c r="AH16" s="247"/>
      <c r="AI16" s="247"/>
      <c r="AJ16" s="247"/>
      <c r="AK16" s="17"/>
      <c r="AL16" s="390">
        <v>442.77365715696078</v>
      </c>
      <c r="AM16" s="2">
        <v>369.3077251909703</v>
      </c>
      <c r="AN16" s="9">
        <v>291.53997125999996</v>
      </c>
      <c r="AO16" s="9">
        <v>154.41890103999998</v>
      </c>
      <c r="AP16" s="391">
        <v>103.50861402000001</v>
      </c>
    </row>
    <row r="17" spans="1:43" ht="15.6" x14ac:dyDescent="0.3">
      <c r="A17" s="15" t="s">
        <v>91</v>
      </c>
      <c r="B17" s="232">
        <v>152.20215676000035</v>
      </c>
      <c r="C17" s="231">
        <v>129.13657638000052</v>
      </c>
      <c r="D17" s="231">
        <v>106.77634660000059</v>
      </c>
      <c r="E17" s="231">
        <v>88.416551115702802</v>
      </c>
      <c r="F17" s="231">
        <v>88.416551115702802</v>
      </c>
      <c r="G17" s="322"/>
      <c r="H17" s="232">
        <v>89.164043770000703</v>
      </c>
      <c r="I17" s="231">
        <v>86.85495178000069</v>
      </c>
      <c r="J17" s="231">
        <v>88.149690740000679</v>
      </c>
      <c r="K17" s="231">
        <v>88.439469440000707</v>
      </c>
      <c r="L17" s="249">
        <v>88.439469440000707</v>
      </c>
      <c r="M17" s="323"/>
      <c r="N17" s="3">
        <v>88.056167060000703</v>
      </c>
      <c r="O17" s="4">
        <v>78.958053888867184</v>
      </c>
      <c r="P17" s="4">
        <v>77.841009220000032</v>
      </c>
      <c r="Q17" s="4">
        <v>65.121711570000002</v>
      </c>
      <c r="R17" s="4">
        <v>65.121711570000002</v>
      </c>
      <c r="S17" s="322"/>
      <c r="T17" s="279">
        <v>62.229204230000008</v>
      </c>
      <c r="U17" s="309">
        <v>59.749416960000005</v>
      </c>
      <c r="V17" s="310">
        <v>51.993819890000012</v>
      </c>
      <c r="W17" s="325">
        <v>47.329922240000002</v>
      </c>
      <c r="X17" s="310">
        <v>47.329922240000002</v>
      </c>
      <c r="Y17" s="322"/>
      <c r="Z17" s="326">
        <v>42.927988620000001</v>
      </c>
      <c r="AA17" s="326">
        <v>28.167291950000006</v>
      </c>
      <c r="AB17" s="326">
        <v>23.99284775762014</v>
      </c>
      <c r="AC17" s="9">
        <v>22.579505839737166</v>
      </c>
      <c r="AD17" s="249">
        <v>22.579505839737166</v>
      </c>
      <c r="AE17" s="322"/>
      <c r="AF17" s="232">
        <v>17</v>
      </c>
      <c r="AG17" s="247"/>
      <c r="AH17" s="247"/>
      <c r="AI17" s="247"/>
      <c r="AJ17" s="247"/>
      <c r="AK17" s="17"/>
      <c r="AL17" s="390">
        <v>88.416551115702802</v>
      </c>
      <c r="AM17" s="2">
        <v>88.439469440000707</v>
      </c>
      <c r="AN17" s="9">
        <v>65.121711570000002</v>
      </c>
      <c r="AO17" s="9">
        <v>47.329922240000002</v>
      </c>
      <c r="AP17" s="391">
        <v>22.579505839737166</v>
      </c>
    </row>
    <row r="18" spans="1:43" ht="15.6" x14ac:dyDescent="0.3">
      <c r="A18" s="15" t="s">
        <v>92</v>
      </c>
      <c r="B18" s="232">
        <v>25.852226809999998</v>
      </c>
      <c r="C18" s="231">
        <v>18.311528640000002</v>
      </c>
      <c r="D18" s="231">
        <v>13.034213359999999</v>
      </c>
      <c r="E18" s="231">
        <v>9.5645788761651485</v>
      </c>
      <c r="F18" s="231">
        <v>9.5645788761651485</v>
      </c>
      <c r="G18" s="327"/>
      <c r="H18" s="232">
        <v>2.3318407094563192</v>
      </c>
      <c r="I18" s="231">
        <v>3.7025579363568797</v>
      </c>
      <c r="J18" s="231">
        <v>11.368396351005362</v>
      </c>
      <c r="K18" s="231">
        <v>10.666796730605002</v>
      </c>
      <c r="L18" s="249">
        <v>10.666796730605002</v>
      </c>
      <c r="M18" s="328"/>
      <c r="N18" s="3">
        <v>10.863332820162814</v>
      </c>
      <c r="O18" s="4">
        <v>10.863332820162814</v>
      </c>
      <c r="P18" s="4">
        <v>49.574042240000004</v>
      </c>
      <c r="Q18" s="4">
        <v>40.258395369999995</v>
      </c>
      <c r="R18" s="250">
        <v>40.258395369999995</v>
      </c>
      <c r="S18" s="327"/>
      <c r="T18" s="279">
        <v>38.543458340000001</v>
      </c>
      <c r="U18" s="309">
        <v>4.92273475</v>
      </c>
      <c r="V18" s="309">
        <v>4.32228353</v>
      </c>
      <c r="W18" s="325">
        <v>1.2556803700000001</v>
      </c>
      <c r="X18" s="314">
        <v>1.2556803700000001</v>
      </c>
      <c r="Y18" s="327"/>
      <c r="Z18" s="329">
        <v>1.2368979599999999</v>
      </c>
      <c r="AA18" s="326">
        <v>1.3139748500000001</v>
      </c>
      <c r="AB18" s="326">
        <v>1.3139748500000001</v>
      </c>
      <c r="AC18" s="231">
        <v>1.3139748500000001</v>
      </c>
      <c r="AD18" s="249">
        <v>1.3139748500000001</v>
      </c>
      <c r="AE18" s="327"/>
      <c r="AF18" s="232">
        <v>1.3</v>
      </c>
      <c r="AG18" s="247"/>
      <c r="AH18" s="247"/>
      <c r="AI18" s="247"/>
      <c r="AJ18" s="247"/>
      <c r="AK18" s="17"/>
      <c r="AL18" s="390">
        <v>9.5645788761651485</v>
      </c>
      <c r="AM18" s="2">
        <v>10.666796730605002</v>
      </c>
      <c r="AN18" s="9">
        <v>40.258395369999995</v>
      </c>
      <c r="AO18" s="9">
        <v>1.2556803700000001</v>
      </c>
      <c r="AP18" s="391">
        <v>1.3139748500000001</v>
      </c>
    </row>
    <row r="19" spans="1:43" ht="16.2" thickBot="1" x14ac:dyDescent="0.35">
      <c r="A19" s="19"/>
      <c r="B19" s="6">
        <v>704.54844080000044</v>
      </c>
      <c r="C19" s="5">
        <v>628.88631674000067</v>
      </c>
      <c r="D19" s="5">
        <v>588.03068798000072</v>
      </c>
      <c r="E19" s="5">
        <v>540.75478714882865</v>
      </c>
      <c r="F19" s="5">
        <v>540.75478714882865</v>
      </c>
      <c r="G19" s="327"/>
      <c r="H19" s="5">
        <v>528.47785831945703</v>
      </c>
      <c r="I19" s="5">
        <v>484.04164949635771</v>
      </c>
      <c r="J19" s="5">
        <v>498.1914101977593</v>
      </c>
      <c r="K19" s="5">
        <v>468.41399136157605</v>
      </c>
      <c r="L19" s="254">
        <v>468.41399136157605</v>
      </c>
      <c r="M19" s="328"/>
      <c r="N19" s="6">
        <v>432.51403564113372</v>
      </c>
      <c r="O19" s="5">
        <v>403.2</v>
      </c>
      <c r="P19" s="5">
        <v>424.49194235097002</v>
      </c>
      <c r="Q19" s="5">
        <v>396.92007819999998</v>
      </c>
      <c r="R19" s="5">
        <v>396.92007819999998</v>
      </c>
      <c r="S19" s="327"/>
      <c r="T19" s="335">
        <v>372.26013338999996</v>
      </c>
      <c r="U19" s="330">
        <v>276.31731416999997</v>
      </c>
      <c r="V19" s="330">
        <v>227.08042280000001</v>
      </c>
      <c r="W19" s="330">
        <v>203.00450364999998</v>
      </c>
      <c r="X19" s="330">
        <v>203.00450364999998</v>
      </c>
      <c r="Y19" s="327"/>
      <c r="Z19" s="331">
        <v>175.65044984999997</v>
      </c>
      <c r="AA19" s="331">
        <v>145.95609700000003</v>
      </c>
      <c r="AB19" s="331">
        <v>135.86191436762013</v>
      </c>
      <c r="AC19" s="331">
        <v>127.40209470973717</v>
      </c>
      <c r="AD19" s="331">
        <v>127.40209470973717</v>
      </c>
      <c r="AE19" s="327"/>
      <c r="AF19" s="331">
        <v>118.39999999999999</v>
      </c>
      <c r="AG19" s="331">
        <v>0</v>
      </c>
      <c r="AH19" s="331">
        <v>0</v>
      </c>
      <c r="AI19" s="331">
        <v>0</v>
      </c>
      <c r="AJ19" s="331">
        <v>0</v>
      </c>
      <c r="AK19" s="17"/>
      <c r="AL19" s="392">
        <v>540.75478714882865</v>
      </c>
      <c r="AM19" s="386">
        <v>468.41399136157605</v>
      </c>
      <c r="AN19" s="387">
        <v>396.92007819999998</v>
      </c>
      <c r="AO19" s="387">
        <v>203.00450364999998</v>
      </c>
      <c r="AP19" s="393">
        <v>127.40209470973717</v>
      </c>
    </row>
    <row r="20" spans="1:43" s="363" customFormat="1" ht="16.2" thickTop="1" x14ac:dyDescent="0.3">
      <c r="A20" s="351"/>
      <c r="B20" s="352"/>
      <c r="C20" s="353"/>
      <c r="D20" s="353"/>
      <c r="E20" s="365"/>
      <c r="F20" s="353"/>
      <c r="G20" s="354"/>
      <c r="H20" s="352"/>
      <c r="I20" s="353"/>
      <c r="J20" s="353"/>
      <c r="K20" s="355"/>
      <c r="L20" s="356"/>
      <c r="M20" s="357"/>
      <c r="N20" s="352"/>
      <c r="O20" s="353"/>
      <c r="P20" s="353"/>
      <c r="Q20" s="364"/>
      <c r="R20" s="353"/>
      <c r="S20" s="354"/>
      <c r="T20" s="358"/>
      <c r="U20" s="359"/>
      <c r="V20" s="360"/>
      <c r="W20" s="360"/>
      <c r="Y20" s="354"/>
      <c r="Z20" s="361"/>
      <c r="AA20" s="353"/>
      <c r="AB20" s="353"/>
      <c r="AC20" s="353"/>
      <c r="AD20" s="353"/>
      <c r="AE20" s="354"/>
      <c r="AF20" s="352"/>
      <c r="AG20" s="353"/>
      <c r="AH20" s="353"/>
      <c r="AI20" s="353"/>
      <c r="AJ20" s="353"/>
      <c r="AK20" s="362"/>
      <c r="AL20" s="397"/>
      <c r="AM20" s="398"/>
      <c r="AN20" s="399"/>
      <c r="AO20" s="399"/>
      <c r="AP20" s="400"/>
      <c r="AQ20"/>
    </row>
    <row r="21" spans="1:43" ht="15.6" x14ac:dyDescent="0.3">
      <c r="A21" s="26"/>
      <c r="B21" s="235"/>
      <c r="C21" s="236"/>
      <c r="D21" s="236"/>
      <c r="E21" s="236"/>
      <c r="F21" s="236"/>
      <c r="G21" s="84"/>
      <c r="H21" s="235"/>
      <c r="I21" s="236"/>
      <c r="J21" s="236"/>
      <c r="K21" s="255"/>
      <c r="L21" s="256"/>
      <c r="M21" s="214"/>
      <c r="N21" s="3"/>
      <c r="O21" s="4"/>
      <c r="P21" s="4"/>
      <c r="Q21" s="4"/>
      <c r="R21" s="4"/>
      <c r="S21" s="84"/>
      <c r="T21" s="279"/>
      <c r="U21" s="309"/>
      <c r="V21" s="310"/>
      <c r="W21" s="310"/>
      <c r="X21" s="310"/>
      <c r="Y21" s="84"/>
      <c r="Z21" s="25"/>
      <c r="AA21" s="25"/>
      <c r="AB21" s="25"/>
      <c r="AC21" s="25"/>
      <c r="AD21" s="25"/>
      <c r="AE21" s="84"/>
      <c r="AF21" s="470"/>
      <c r="AG21" s="25"/>
      <c r="AH21" s="25"/>
      <c r="AI21" s="25"/>
      <c r="AJ21" s="25"/>
      <c r="AK21" s="18"/>
      <c r="AL21" s="401"/>
      <c r="AM21" s="402"/>
      <c r="AN21" s="403"/>
      <c r="AO21" s="403"/>
      <c r="AP21" s="404"/>
    </row>
    <row r="22" spans="1:43" ht="15.6" x14ac:dyDescent="0.3">
      <c r="A22" s="15"/>
      <c r="B22" s="232"/>
      <c r="C22" s="231"/>
      <c r="D22" s="231"/>
      <c r="E22" s="231"/>
      <c r="F22" s="231"/>
      <c r="G22" s="85"/>
      <c r="H22" s="232"/>
      <c r="I22" s="231"/>
      <c r="J22" s="231"/>
      <c r="K22" s="247"/>
      <c r="L22" s="249"/>
      <c r="M22" s="215"/>
      <c r="N22" s="3"/>
      <c r="O22" s="2"/>
      <c r="P22" s="2"/>
      <c r="Q22" s="2"/>
      <c r="R22" s="2"/>
      <c r="S22" s="85"/>
      <c r="T22" s="279"/>
      <c r="U22" s="280"/>
      <c r="V22" s="281"/>
      <c r="W22" s="281"/>
      <c r="X22" s="281"/>
      <c r="Y22" s="85"/>
      <c r="Z22" s="27"/>
      <c r="AA22" s="27"/>
      <c r="AB22" s="27"/>
      <c r="AC22" s="27"/>
      <c r="AD22" s="27"/>
      <c r="AE22" s="85"/>
      <c r="AF22" s="471"/>
      <c r="AG22" s="27"/>
      <c r="AH22" s="27"/>
      <c r="AI22" s="27"/>
      <c r="AJ22" s="27"/>
      <c r="AK22" s="18"/>
      <c r="AL22" s="401"/>
      <c r="AM22" s="402"/>
      <c r="AN22" s="403"/>
      <c r="AO22" s="403"/>
      <c r="AP22" s="404"/>
    </row>
    <row r="23" spans="1:43" ht="15.6" x14ac:dyDescent="0.3">
      <c r="A23" s="15"/>
      <c r="B23" s="232"/>
      <c r="C23" s="231"/>
      <c r="D23" s="231"/>
      <c r="E23" s="231"/>
      <c r="F23" s="231"/>
      <c r="G23" s="10"/>
      <c r="H23" s="232"/>
      <c r="I23" s="231"/>
      <c r="J23" s="231"/>
      <c r="K23" s="247"/>
      <c r="L23" s="249"/>
      <c r="M23" s="216"/>
      <c r="N23" s="3"/>
      <c r="O23" s="2"/>
      <c r="P23" s="2"/>
      <c r="Q23" s="2"/>
      <c r="R23" s="2"/>
      <c r="S23" s="10"/>
      <c r="T23" s="279"/>
      <c r="U23" s="280"/>
      <c r="V23" s="281"/>
      <c r="W23" s="281"/>
      <c r="X23" s="281"/>
      <c r="Y23" s="10"/>
      <c r="Z23" s="28"/>
      <c r="AA23" s="28"/>
      <c r="AB23" s="28"/>
      <c r="AC23" s="28"/>
      <c r="AD23" s="28"/>
      <c r="AE23" s="10"/>
      <c r="AF23" s="472"/>
      <c r="AG23" s="28"/>
      <c r="AH23" s="28"/>
      <c r="AI23" s="28"/>
      <c r="AJ23" s="28"/>
      <c r="AK23" s="18"/>
      <c r="AL23" s="401"/>
      <c r="AM23" s="402"/>
      <c r="AN23" s="403"/>
      <c r="AO23" s="403"/>
      <c r="AP23" s="404"/>
    </row>
    <row r="24" spans="1:43" ht="15.6" x14ac:dyDescent="0.3">
      <c r="A24" s="15"/>
      <c r="B24" s="232"/>
      <c r="C24" s="231"/>
      <c r="D24" s="231"/>
      <c r="E24" s="231"/>
      <c r="F24" s="231"/>
      <c r="G24" s="11"/>
      <c r="H24" s="232"/>
      <c r="I24" s="231"/>
      <c r="J24" s="231"/>
      <c r="K24" s="247"/>
      <c r="L24" s="249"/>
      <c r="M24" s="217"/>
      <c r="N24" s="3"/>
      <c r="O24" s="2"/>
      <c r="P24" s="2"/>
      <c r="Q24" s="2"/>
      <c r="R24" s="2"/>
      <c r="S24" s="11"/>
      <c r="T24" s="279"/>
      <c r="U24" s="280"/>
      <c r="V24" s="281"/>
      <c r="W24" s="281"/>
      <c r="X24" s="281"/>
      <c r="Y24" s="11"/>
      <c r="Z24" s="29"/>
      <c r="AA24" s="29"/>
      <c r="AB24" s="29"/>
      <c r="AC24" s="29"/>
      <c r="AD24" s="29"/>
      <c r="AE24" s="11"/>
      <c r="AF24" s="473"/>
      <c r="AG24" s="29"/>
      <c r="AH24" s="29"/>
      <c r="AI24" s="29"/>
      <c r="AJ24" s="29"/>
      <c r="AK24" s="18"/>
      <c r="AL24" s="401"/>
      <c r="AM24" s="402"/>
      <c r="AN24" s="403"/>
      <c r="AO24" s="403"/>
      <c r="AP24" s="404"/>
    </row>
    <row r="25" spans="1:43" ht="15.6" x14ac:dyDescent="0.3">
      <c r="A25" s="30"/>
      <c r="B25" s="235"/>
      <c r="C25" s="236"/>
      <c r="D25" s="236"/>
      <c r="E25" s="236"/>
      <c r="F25" s="236"/>
      <c r="G25" s="11"/>
      <c r="H25" s="235"/>
      <c r="I25" s="236"/>
      <c r="J25" s="236"/>
      <c r="K25" s="255"/>
      <c r="L25" s="256"/>
      <c r="M25" s="217"/>
      <c r="N25" s="3"/>
      <c r="O25" s="2"/>
      <c r="P25" s="2"/>
      <c r="Q25" s="2"/>
      <c r="R25" s="2"/>
      <c r="S25" s="11"/>
      <c r="T25" s="279"/>
      <c r="U25" s="280"/>
      <c r="V25" s="281"/>
      <c r="W25" s="281"/>
      <c r="X25" s="281"/>
      <c r="Y25" s="11"/>
      <c r="Z25" s="29"/>
      <c r="AA25" s="29"/>
      <c r="AB25" s="29"/>
      <c r="AC25" s="29"/>
      <c r="AD25" s="29"/>
      <c r="AE25" s="11"/>
      <c r="AF25" s="473"/>
      <c r="AG25" s="29"/>
      <c r="AH25" s="29"/>
      <c r="AI25" s="29"/>
      <c r="AJ25" s="29"/>
      <c r="AK25" s="18"/>
      <c r="AL25" s="401"/>
      <c r="AM25" s="402"/>
      <c r="AN25" s="403"/>
      <c r="AO25" s="403"/>
      <c r="AP25" s="404"/>
    </row>
    <row r="26" spans="1:43" ht="15.6" x14ac:dyDescent="0.3">
      <c r="A26" s="31"/>
      <c r="B26" s="3"/>
      <c r="C26" s="4"/>
      <c r="D26" s="4"/>
      <c r="E26" s="4"/>
      <c r="F26" s="4"/>
      <c r="G26" s="11"/>
      <c r="H26" s="3"/>
      <c r="I26" s="4"/>
      <c r="J26" s="4"/>
      <c r="K26" s="2"/>
      <c r="L26" s="250"/>
      <c r="M26" s="217"/>
      <c r="N26" s="3"/>
      <c r="O26" s="2"/>
      <c r="P26" s="2"/>
      <c r="Q26" s="2"/>
      <c r="R26" s="2"/>
      <c r="S26" s="11"/>
      <c r="T26" s="279"/>
      <c r="U26" s="280"/>
      <c r="V26" s="281"/>
      <c r="W26" s="281"/>
      <c r="X26" s="281"/>
      <c r="Y26" s="11"/>
      <c r="Z26" s="29"/>
      <c r="AA26" s="29"/>
      <c r="AB26" s="29"/>
      <c r="AC26" s="29"/>
      <c r="AD26" s="29"/>
      <c r="AE26" s="11"/>
      <c r="AF26" s="473"/>
      <c r="AG26" s="29"/>
      <c r="AH26" s="29"/>
      <c r="AI26" s="29"/>
      <c r="AJ26" s="29"/>
      <c r="AK26" s="18"/>
      <c r="AL26" s="401"/>
      <c r="AM26" s="402"/>
      <c r="AN26" s="403"/>
      <c r="AO26" s="403"/>
      <c r="AP26" s="404"/>
    </row>
    <row r="27" spans="1:43" ht="16.2" thickBot="1" x14ac:dyDescent="0.35">
      <c r="A27" s="32"/>
      <c r="B27" s="237"/>
      <c r="C27" s="238"/>
      <c r="D27" s="238"/>
      <c r="E27" s="238"/>
      <c r="F27" s="238"/>
      <c r="G27" s="11"/>
      <c r="H27" s="237"/>
      <c r="I27" s="238"/>
      <c r="J27" s="238"/>
      <c r="K27" s="238"/>
      <c r="L27" s="257"/>
      <c r="M27" s="217"/>
      <c r="N27" s="33"/>
      <c r="O27" s="34"/>
      <c r="P27" s="34"/>
      <c r="Q27" s="34"/>
      <c r="R27" s="34"/>
      <c r="S27" s="11"/>
      <c r="T27" s="311"/>
      <c r="U27" s="312"/>
      <c r="V27" s="313"/>
      <c r="W27" s="313"/>
      <c r="X27" s="313"/>
      <c r="Y27" s="11"/>
      <c r="Z27" s="35"/>
      <c r="AA27" s="35"/>
      <c r="AB27" s="35"/>
      <c r="AC27" s="35"/>
      <c r="AD27" s="35"/>
      <c r="AE27" s="11"/>
      <c r="AF27" s="474"/>
      <c r="AG27" s="35"/>
      <c r="AH27" s="35"/>
      <c r="AI27" s="35"/>
      <c r="AJ27" s="35"/>
      <c r="AK27" s="36"/>
      <c r="AL27" s="405"/>
      <c r="AM27" s="406"/>
      <c r="AN27" s="407"/>
      <c r="AO27" s="407"/>
      <c r="AP27" s="408"/>
    </row>
    <row r="30" spans="1:43" ht="15.6" hidden="1" x14ac:dyDescent="0.3">
      <c r="A30" s="337" t="s">
        <v>96</v>
      </c>
      <c r="B30" s="338"/>
      <c r="C30" s="339"/>
      <c r="D30" s="339"/>
      <c r="E30" s="339"/>
      <c r="F30" s="340"/>
      <c r="G30" s="341"/>
      <c r="H30" s="338"/>
      <c r="I30" s="339"/>
      <c r="J30" s="339"/>
      <c r="K30" s="339"/>
      <c r="L30" s="340"/>
      <c r="M30" s="342"/>
      <c r="N30" s="343"/>
      <c r="O30" s="344"/>
      <c r="P30" s="344"/>
      <c r="Q30" s="344"/>
      <c r="R30" s="345"/>
      <c r="S30" s="342"/>
      <c r="T30" s="346"/>
      <c r="U30" s="347"/>
      <c r="V30" s="348"/>
      <c r="W30" s="348"/>
      <c r="X30" s="349"/>
      <c r="Y30" s="342"/>
      <c r="Z30" s="343"/>
      <c r="AA30" s="344"/>
      <c r="AB30" s="344"/>
      <c r="AC30" s="344"/>
      <c r="AD30" s="344"/>
      <c r="AE30" s="342"/>
      <c r="AF30" s="344"/>
      <c r="AG30" s="344"/>
      <c r="AH30" s="344"/>
      <c r="AI30" s="344"/>
      <c r="AJ30" s="344"/>
      <c r="AK30" s="350"/>
    </row>
    <row r="31" spans="1:43" ht="15.6" hidden="1" x14ac:dyDescent="0.3">
      <c r="A31" s="15" t="s">
        <v>90</v>
      </c>
      <c r="B31" s="318"/>
      <c r="C31" s="243"/>
      <c r="D31" s="243"/>
      <c r="E31" s="243"/>
      <c r="F31" s="243"/>
      <c r="G31" s="322"/>
      <c r="H31" s="232">
        <v>1806</v>
      </c>
      <c r="I31" s="243"/>
      <c r="J31" s="231">
        <v>1896.1550742999998</v>
      </c>
      <c r="K31" s="243"/>
      <c r="L31" s="248"/>
      <c r="M31" s="323"/>
      <c r="N31" s="3">
        <v>839778.63939999999</v>
      </c>
      <c r="O31" s="4">
        <v>738651.87140000006</v>
      </c>
      <c r="P31" s="4">
        <v>669404.36920000007</v>
      </c>
      <c r="Q31" s="4">
        <v>418703.29239999998</v>
      </c>
      <c r="R31" s="4">
        <v>418703.29239999998</v>
      </c>
      <c r="S31" s="322"/>
      <c r="T31" s="315">
        <v>491.24516940000001</v>
      </c>
      <c r="U31" s="324">
        <v>422.3449056</v>
      </c>
      <c r="V31" s="310">
        <v>268085.47600000002</v>
      </c>
      <c r="W31" s="325">
        <v>221548.44959999988</v>
      </c>
      <c r="X31" s="310">
        <v>221548.44959999988</v>
      </c>
      <c r="Y31" s="322"/>
      <c r="Z31" s="326">
        <v>164091.6149999999</v>
      </c>
      <c r="AA31" s="326">
        <v>159077.245</v>
      </c>
      <c r="AB31" s="326">
        <v>131243.39967000001</v>
      </c>
      <c r="AC31" s="231">
        <v>197391.49699999997</v>
      </c>
      <c r="AD31" s="249">
        <v>197391.49699999997</v>
      </c>
      <c r="AE31" s="322"/>
      <c r="AF31" s="247"/>
      <c r="AG31" s="247"/>
      <c r="AH31" s="247"/>
      <c r="AI31" s="247"/>
      <c r="AJ31" s="247"/>
      <c r="AK31" s="17"/>
    </row>
    <row r="32" spans="1:43" ht="15.6" hidden="1" x14ac:dyDescent="0.3">
      <c r="A32" s="15" t="s">
        <v>91</v>
      </c>
      <c r="B32" s="318"/>
      <c r="C32" s="243"/>
      <c r="D32" s="243"/>
      <c r="E32" s="243"/>
      <c r="F32" s="243"/>
      <c r="G32" s="322"/>
      <c r="H32" s="232">
        <v>1018.1</v>
      </c>
      <c r="I32" s="243"/>
      <c r="J32" s="231">
        <v>922.52912739999999</v>
      </c>
      <c r="K32" s="243"/>
      <c r="L32" s="248"/>
      <c r="M32" s="323"/>
      <c r="N32" s="3">
        <v>990048.005</v>
      </c>
      <c r="O32" s="4">
        <v>1064405.0619999999</v>
      </c>
      <c r="P32" s="4">
        <v>1168115.6969999999</v>
      </c>
      <c r="Q32" s="4">
        <v>1039770.4446</v>
      </c>
      <c r="R32" s="4">
        <v>1039770.4446</v>
      </c>
      <c r="S32" s="322"/>
      <c r="T32" s="315">
        <v>774.06292000000008</v>
      </c>
      <c r="U32" s="324">
        <v>599.16172000000006</v>
      </c>
      <c r="V32" s="310">
        <v>473519.42000000004</v>
      </c>
      <c r="W32" s="325">
        <v>776836.41999999993</v>
      </c>
      <c r="X32" s="310">
        <v>776836.41999999993</v>
      </c>
      <c r="Y32" s="322"/>
      <c r="Z32" s="326">
        <v>699765.22</v>
      </c>
      <c r="AA32" s="326">
        <v>1680189.9920000001</v>
      </c>
      <c r="AB32" s="326">
        <v>1843214.8429999999</v>
      </c>
      <c r="AC32" s="231">
        <v>2009562.6880000001</v>
      </c>
      <c r="AD32" s="249">
        <v>2009562.6880000001</v>
      </c>
      <c r="AE32" s="322"/>
      <c r="AF32" s="247"/>
      <c r="AG32" s="247"/>
      <c r="AH32" s="247"/>
      <c r="AI32" s="247"/>
      <c r="AJ32" s="247"/>
      <c r="AK32" s="17"/>
    </row>
    <row r="33" spans="1:37" ht="15.6" hidden="1" x14ac:dyDescent="0.3">
      <c r="A33" s="15" t="s">
        <v>92</v>
      </c>
      <c r="B33" s="318"/>
      <c r="C33" s="243"/>
      <c r="D33" s="243"/>
      <c r="E33" s="243"/>
      <c r="F33" s="243"/>
      <c r="G33" s="327"/>
      <c r="H33" s="232">
        <v>0</v>
      </c>
      <c r="I33" s="243"/>
      <c r="J33" s="231">
        <v>0</v>
      </c>
      <c r="K33" s="243"/>
      <c r="L33" s="248"/>
      <c r="M33" s="328"/>
      <c r="N33" s="3">
        <v>0</v>
      </c>
      <c r="O33" s="4">
        <v>0</v>
      </c>
      <c r="P33" s="4">
        <v>0</v>
      </c>
      <c r="Q33" s="4">
        <v>0</v>
      </c>
      <c r="R33" s="250">
        <v>0</v>
      </c>
      <c r="S33" s="327"/>
      <c r="T33" s="279">
        <v>0</v>
      </c>
      <c r="U33" s="309">
        <v>0</v>
      </c>
      <c r="V33" s="309">
        <v>0</v>
      </c>
      <c r="W33" s="325">
        <v>0</v>
      </c>
      <c r="X33" s="314">
        <v>0</v>
      </c>
      <c r="Y33" s="327"/>
      <c r="Z33" s="329">
        <v>0</v>
      </c>
      <c r="AA33" s="326">
        <v>0</v>
      </c>
      <c r="AB33" s="326">
        <v>0</v>
      </c>
      <c r="AC33" s="231">
        <v>0</v>
      </c>
      <c r="AD33" s="249">
        <v>0</v>
      </c>
      <c r="AE33" s="327"/>
      <c r="AF33" s="247"/>
      <c r="AG33" s="247"/>
      <c r="AH33" s="247"/>
      <c r="AI33" s="247"/>
      <c r="AJ33" s="247"/>
      <c r="AK33" s="17"/>
    </row>
    <row r="34" spans="1:37" ht="15.6" hidden="1" x14ac:dyDescent="0.3">
      <c r="A34" s="19"/>
      <c r="B34" s="319"/>
      <c r="C34" s="240"/>
      <c r="D34" s="240"/>
      <c r="E34" s="240"/>
      <c r="F34" s="240"/>
      <c r="G34" s="327"/>
      <c r="H34" s="6">
        <v>2824.1</v>
      </c>
      <c r="I34" s="240">
        <v>0</v>
      </c>
      <c r="J34" s="5">
        <v>2818.6842016999999</v>
      </c>
      <c r="K34" s="240"/>
      <c r="L34" s="320"/>
      <c r="M34" s="328"/>
      <c r="N34" s="6">
        <v>1829826.6444000001</v>
      </c>
      <c r="O34" s="5">
        <v>1803056.9334</v>
      </c>
      <c r="P34" s="5">
        <v>1837520.0662</v>
      </c>
      <c r="Q34" s="5">
        <v>1458473.737</v>
      </c>
      <c r="R34" s="5">
        <v>1458473.737</v>
      </c>
      <c r="S34" s="327"/>
      <c r="T34" s="316">
        <v>1265.3080894</v>
      </c>
      <c r="U34" s="317">
        <v>1021.5066256</v>
      </c>
      <c r="V34" s="295">
        <v>741604.89600000007</v>
      </c>
      <c r="W34" s="330">
        <v>998384.86959999986</v>
      </c>
      <c r="X34" s="330">
        <v>998384.86959999986</v>
      </c>
      <c r="Y34" s="327"/>
      <c r="Z34" s="331">
        <v>863856.83499999985</v>
      </c>
      <c r="AA34" s="331">
        <v>1839267.2370000002</v>
      </c>
      <c r="AB34" s="331">
        <v>1974458.2426699998</v>
      </c>
      <c r="AC34" s="331">
        <v>2206954.1850000001</v>
      </c>
      <c r="AD34" s="331">
        <v>2206954.1850000001</v>
      </c>
      <c r="AE34" s="327"/>
      <c r="AF34" s="467"/>
      <c r="AG34" s="467"/>
      <c r="AH34" s="467"/>
      <c r="AI34" s="467"/>
      <c r="AJ34" s="467"/>
      <c r="AK34" s="17"/>
    </row>
  </sheetData>
  <mergeCells count="3">
    <mergeCell ref="H14:L14"/>
    <mergeCell ref="B14:F14"/>
    <mergeCell ref="N14:R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819F-477E-4860-8AAB-E713223E248C}">
  <dimension ref="A1:P149"/>
  <sheetViews>
    <sheetView zoomScale="61" zoomScaleNormal="55" workbookViewId="0">
      <pane xSplit="1" ySplit="4" topLeftCell="B132" activePane="bottomRight" state="frozen"/>
      <selection pane="topRight" activeCell="B1" sqref="B1"/>
      <selection pane="bottomLeft" activeCell="A4" sqref="A4"/>
      <selection pane="bottomRight" activeCell="F158" sqref="F158"/>
    </sheetView>
  </sheetViews>
  <sheetFormatPr defaultRowHeight="14.4" x14ac:dyDescent="0.3"/>
  <cols>
    <col min="1" max="1" width="55.44140625" bestFit="1" customWidth="1"/>
    <col min="2" max="2" width="20.77734375" style="227" customWidth="1"/>
    <col min="3" max="3" width="18.6640625" style="227" bestFit="1" customWidth="1"/>
    <col min="4" max="4" width="21.109375" customWidth="1"/>
    <col min="5" max="5" width="19.21875" customWidth="1"/>
    <col min="6" max="6" width="15.77734375" customWidth="1"/>
    <col min="7" max="7" width="18" customWidth="1"/>
    <col min="8" max="8" width="15.109375" bestFit="1" customWidth="1"/>
    <col min="9" max="11" width="18" customWidth="1"/>
    <col min="12" max="12" width="20.5546875" customWidth="1"/>
    <col min="13" max="13" width="18" customWidth="1"/>
    <col min="14" max="14" width="18" hidden="1" customWidth="1"/>
    <col min="15" max="15" width="31" customWidth="1"/>
  </cols>
  <sheetData>
    <row r="1" spans="1:14" ht="15.6" x14ac:dyDescent="0.3">
      <c r="A1" s="308" t="s">
        <v>375</v>
      </c>
    </row>
    <row r="2" spans="1:14" ht="15.6" x14ac:dyDescent="0.3">
      <c r="A2" s="308"/>
    </row>
    <row r="3" spans="1:14" x14ac:dyDescent="0.3">
      <c r="A3" s="696" t="s">
        <v>123</v>
      </c>
      <c r="B3" s="696" t="s">
        <v>124</v>
      </c>
      <c r="C3" s="697" t="s">
        <v>296</v>
      </c>
      <c r="D3" s="694" t="s">
        <v>125</v>
      </c>
      <c r="E3" s="694" t="s">
        <v>126</v>
      </c>
      <c r="F3" s="694" t="s">
        <v>127</v>
      </c>
      <c r="G3" s="694" t="s">
        <v>128</v>
      </c>
      <c r="H3" s="696" t="s">
        <v>129</v>
      </c>
      <c r="I3" s="694" t="s">
        <v>361</v>
      </c>
      <c r="J3" s="694"/>
      <c r="K3" s="694"/>
      <c r="L3" s="694"/>
      <c r="M3" s="695" t="s">
        <v>353</v>
      </c>
      <c r="N3" s="695" t="s">
        <v>353</v>
      </c>
    </row>
    <row r="4" spans="1:14" ht="37.799999999999997" x14ac:dyDescent="0.3">
      <c r="A4" s="696"/>
      <c r="B4" s="696"/>
      <c r="C4" s="697"/>
      <c r="D4" s="694"/>
      <c r="E4" s="694"/>
      <c r="F4" s="694"/>
      <c r="G4" s="694"/>
      <c r="H4" s="696"/>
      <c r="I4" s="91" t="s">
        <v>302</v>
      </c>
      <c r="J4" s="91" t="s">
        <v>303</v>
      </c>
      <c r="K4" s="91" t="s">
        <v>304</v>
      </c>
      <c r="L4" s="91" t="s">
        <v>305</v>
      </c>
      <c r="M4" s="695"/>
      <c r="N4" s="695"/>
    </row>
    <row r="5" spans="1:14" x14ac:dyDescent="0.3">
      <c r="A5" s="86" t="s">
        <v>122</v>
      </c>
      <c r="B5" s="372"/>
      <c r="C5" s="372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3">
      <c r="A6" s="93" t="s">
        <v>130</v>
      </c>
      <c r="B6" s="94" t="s">
        <v>131</v>
      </c>
      <c r="C6" s="94">
        <v>348</v>
      </c>
      <c r="D6" s="95">
        <v>96.629721299746791</v>
      </c>
      <c r="E6" s="96">
        <v>3345.2</v>
      </c>
      <c r="F6" s="96">
        <v>1661.5</v>
      </c>
      <c r="G6" s="96">
        <v>1683.6999999999998</v>
      </c>
      <c r="H6" s="97">
        <v>1</v>
      </c>
      <c r="I6" s="96">
        <v>1609.25</v>
      </c>
      <c r="J6" s="96" t="s">
        <v>287</v>
      </c>
      <c r="K6" s="438">
        <v>98</v>
      </c>
      <c r="L6" s="96">
        <v>100</v>
      </c>
      <c r="M6" s="619" t="s">
        <v>365</v>
      </c>
      <c r="N6" s="99" t="s">
        <v>310</v>
      </c>
    </row>
    <row r="7" spans="1:14" x14ac:dyDescent="0.3">
      <c r="A7" s="93" t="s">
        <v>132</v>
      </c>
      <c r="B7" s="94" t="s">
        <v>131</v>
      </c>
      <c r="C7" s="94">
        <v>251</v>
      </c>
      <c r="D7" s="95">
        <v>10.00000988421629</v>
      </c>
      <c r="E7" s="96">
        <v>1169.8</v>
      </c>
      <c r="F7" s="96">
        <v>946.6</v>
      </c>
      <c r="G7" s="96">
        <v>223.19999999999993</v>
      </c>
      <c r="H7" s="97">
        <v>1</v>
      </c>
      <c r="I7" s="96">
        <v>946.6</v>
      </c>
      <c r="J7" s="96" t="s">
        <v>287</v>
      </c>
      <c r="K7" s="438">
        <v>100</v>
      </c>
      <c r="L7" s="96">
        <v>100</v>
      </c>
      <c r="M7" s="619" t="s">
        <v>364</v>
      </c>
      <c r="N7" s="99" t="s">
        <v>311</v>
      </c>
    </row>
    <row r="8" spans="1:14" x14ac:dyDescent="0.3">
      <c r="A8" s="93" t="s">
        <v>133</v>
      </c>
      <c r="B8" s="94" t="s">
        <v>131</v>
      </c>
      <c r="C8" s="95">
        <v>258</v>
      </c>
      <c r="D8" s="95">
        <v>35.649799999999999</v>
      </c>
      <c r="E8" s="96">
        <v>1198.3</v>
      </c>
      <c r="F8" s="96">
        <v>750.851</v>
      </c>
      <c r="G8" s="96">
        <v>447.44899999999996</v>
      </c>
      <c r="H8" s="97">
        <v>1</v>
      </c>
      <c r="I8" s="96">
        <v>750.9</v>
      </c>
      <c r="J8" s="96" t="s">
        <v>287</v>
      </c>
      <c r="K8" s="438">
        <v>100</v>
      </c>
      <c r="L8" s="96">
        <v>100</v>
      </c>
      <c r="M8" s="99" t="s">
        <v>363</v>
      </c>
      <c r="N8" s="99" t="s">
        <v>312</v>
      </c>
    </row>
    <row r="9" spans="1:14" x14ac:dyDescent="0.3">
      <c r="A9" s="93" t="s">
        <v>134</v>
      </c>
      <c r="B9" s="94" t="s">
        <v>173</v>
      </c>
      <c r="C9" s="98">
        <v>3.3</v>
      </c>
      <c r="D9" s="98">
        <v>0</v>
      </c>
      <c r="E9" s="99">
        <v>471.4</v>
      </c>
      <c r="F9" s="99">
        <v>471.4</v>
      </c>
      <c r="G9" s="96">
        <v>0</v>
      </c>
      <c r="H9" s="97">
        <v>1</v>
      </c>
      <c r="I9" s="96">
        <v>471.4</v>
      </c>
      <c r="J9" s="96" t="s">
        <v>287</v>
      </c>
      <c r="K9" s="438">
        <v>100</v>
      </c>
      <c r="L9" s="96">
        <v>100</v>
      </c>
      <c r="M9" s="99" t="s">
        <v>313</v>
      </c>
      <c r="N9" s="99" t="s">
        <v>313</v>
      </c>
    </row>
    <row r="10" spans="1:14" x14ac:dyDescent="0.3">
      <c r="A10" s="93" t="s">
        <v>135</v>
      </c>
      <c r="B10" s="94" t="s">
        <v>173</v>
      </c>
      <c r="C10" s="98">
        <v>10.1</v>
      </c>
      <c r="D10" s="98">
        <v>0</v>
      </c>
      <c r="E10" s="99">
        <v>1351.5</v>
      </c>
      <c r="F10" s="99">
        <v>1314.1</v>
      </c>
      <c r="G10" s="96">
        <v>37.400000000000091</v>
      </c>
      <c r="H10" s="97">
        <v>1</v>
      </c>
      <c r="I10" s="96">
        <v>1305.25</v>
      </c>
      <c r="J10" s="96" t="s">
        <v>287</v>
      </c>
      <c r="K10" s="438">
        <v>100</v>
      </c>
      <c r="L10" s="96">
        <v>100</v>
      </c>
      <c r="M10" s="99" t="s">
        <v>314</v>
      </c>
      <c r="N10" s="99" t="s">
        <v>314</v>
      </c>
    </row>
    <row r="11" spans="1:14" x14ac:dyDescent="0.3">
      <c r="A11" s="93" t="s">
        <v>136</v>
      </c>
      <c r="B11" s="94" t="s">
        <v>173</v>
      </c>
      <c r="C11" s="98">
        <v>12.22</v>
      </c>
      <c r="D11" s="98">
        <v>0</v>
      </c>
      <c r="E11" s="99">
        <v>1966.88</v>
      </c>
      <c r="F11" s="99">
        <v>581.4</v>
      </c>
      <c r="G11" s="96">
        <v>1385.48</v>
      </c>
      <c r="H11" s="97">
        <v>1</v>
      </c>
      <c r="I11" s="96">
        <v>541.9</v>
      </c>
      <c r="J11" s="96" t="s">
        <v>287</v>
      </c>
      <c r="K11" s="438">
        <v>91</v>
      </c>
      <c r="L11" s="96">
        <v>100</v>
      </c>
      <c r="M11" s="99" t="s">
        <v>366</v>
      </c>
      <c r="N11" s="99" t="s">
        <v>315</v>
      </c>
    </row>
    <row r="12" spans="1:14" x14ac:dyDescent="0.3">
      <c r="A12" s="93" t="s">
        <v>137</v>
      </c>
      <c r="B12" s="94" t="s">
        <v>173</v>
      </c>
      <c r="C12" s="98">
        <v>394</v>
      </c>
      <c r="D12" s="98">
        <v>210.58599999999998</v>
      </c>
      <c r="E12" s="99">
        <v>4502.3999999999996</v>
      </c>
      <c r="F12" s="99">
        <v>651.79999999999995</v>
      </c>
      <c r="G12" s="96">
        <v>3850.5999999999995</v>
      </c>
      <c r="H12" s="97">
        <v>1</v>
      </c>
      <c r="I12" s="96">
        <v>646</v>
      </c>
      <c r="J12" s="96" t="s">
        <v>287</v>
      </c>
      <c r="K12" s="438">
        <v>100</v>
      </c>
      <c r="L12" s="96">
        <v>100</v>
      </c>
      <c r="M12" s="99" t="s">
        <v>327</v>
      </c>
      <c r="N12" s="99" t="s">
        <v>316</v>
      </c>
    </row>
    <row r="13" spans="1:14" x14ac:dyDescent="0.3">
      <c r="A13" s="93" t="s">
        <v>138</v>
      </c>
      <c r="B13" s="94" t="s">
        <v>131</v>
      </c>
      <c r="C13" s="95">
        <v>40.799999999999997</v>
      </c>
      <c r="D13" s="95">
        <v>0</v>
      </c>
      <c r="E13" s="99">
        <v>188.5</v>
      </c>
      <c r="F13" s="99">
        <v>188.5</v>
      </c>
      <c r="G13" s="96">
        <v>0</v>
      </c>
      <c r="H13" s="97">
        <v>1</v>
      </c>
      <c r="I13" s="96">
        <v>188.5</v>
      </c>
      <c r="J13" s="96" t="s">
        <v>287</v>
      </c>
      <c r="K13" s="438">
        <v>100</v>
      </c>
      <c r="L13" s="96">
        <v>100</v>
      </c>
      <c r="M13" s="99" t="s">
        <v>317</v>
      </c>
      <c r="N13" s="99" t="s">
        <v>317</v>
      </c>
    </row>
    <row r="14" spans="1:14" x14ac:dyDescent="0.3">
      <c r="A14" s="93" t="s">
        <v>139</v>
      </c>
      <c r="B14" s="94" t="s">
        <v>347</v>
      </c>
      <c r="C14" s="95">
        <v>73.599999999999994</v>
      </c>
      <c r="D14" s="95">
        <v>13.62</v>
      </c>
      <c r="E14" s="95">
        <v>486.9</v>
      </c>
      <c r="F14" s="100">
        <v>263.60000000000002</v>
      </c>
      <c r="G14" s="96">
        <v>223.29999999999995</v>
      </c>
      <c r="H14" s="97">
        <v>1</v>
      </c>
      <c r="I14" s="96">
        <v>271.60000000000002</v>
      </c>
      <c r="J14" s="96" t="s">
        <v>287</v>
      </c>
      <c r="K14" s="438">
        <v>100</v>
      </c>
      <c r="L14" s="96">
        <v>100</v>
      </c>
      <c r="M14" s="99" t="s">
        <v>317</v>
      </c>
      <c r="N14" s="99" t="s">
        <v>318</v>
      </c>
    </row>
    <row r="15" spans="1:14" x14ac:dyDescent="0.3">
      <c r="A15" s="93" t="s">
        <v>140</v>
      </c>
      <c r="B15" s="94" t="s">
        <v>131</v>
      </c>
      <c r="C15" s="95">
        <v>23.3</v>
      </c>
      <c r="D15" s="95">
        <v>0</v>
      </c>
      <c r="E15" s="100">
        <v>139.6</v>
      </c>
      <c r="F15" s="100">
        <v>139.59100000000001</v>
      </c>
      <c r="G15" s="96">
        <v>8.9999999999861302E-3</v>
      </c>
      <c r="H15" s="97">
        <v>1</v>
      </c>
      <c r="I15" s="96">
        <v>138.1</v>
      </c>
      <c r="J15" s="96" t="s">
        <v>287</v>
      </c>
      <c r="K15" s="438">
        <v>100</v>
      </c>
      <c r="L15" s="96">
        <v>100</v>
      </c>
      <c r="M15" s="99" t="s">
        <v>319</v>
      </c>
      <c r="N15" s="99" t="s">
        <v>319</v>
      </c>
    </row>
    <row r="16" spans="1:14" x14ac:dyDescent="0.3">
      <c r="A16" s="93" t="s">
        <v>286</v>
      </c>
      <c r="B16" s="94" t="s">
        <v>131</v>
      </c>
      <c r="C16" s="95">
        <v>23.1</v>
      </c>
      <c r="D16" s="95">
        <v>0</v>
      </c>
      <c r="E16" s="96">
        <v>170.7</v>
      </c>
      <c r="F16" s="100">
        <v>170.7</v>
      </c>
      <c r="G16" s="96">
        <v>0</v>
      </c>
      <c r="H16" s="97">
        <v>1</v>
      </c>
      <c r="I16" s="96">
        <v>170.7</v>
      </c>
      <c r="J16" s="96" t="s">
        <v>287</v>
      </c>
      <c r="K16" s="438">
        <v>100</v>
      </c>
      <c r="L16" s="96">
        <v>100</v>
      </c>
      <c r="M16" s="99" t="s">
        <v>319</v>
      </c>
      <c r="N16" s="99" t="s">
        <v>320</v>
      </c>
    </row>
    <row r="17" spans="1:14" x14ac:dyDescent="0.3">
      <c r="A17" s="93" t="s">
        <v>141</v>
      </c>
      <c r="B17" s="94" t="s">
        <v>347</v>
      </c>
      <c r="C17" s="95">
        <v>19</v>
      </c>
      <c r="D17" s="95">
        <v>0</v>
      </c>
      <c r="E17" s="95">
        <v>306.60000000000002</v>
      </c>
      <c r="F17" s="96">
        <v>306.60000000000002</v>
      </c>
      <c r="G17" s="96">
        <v>0</v>
      </c>
      <c r="H17" s="97">
        <v>1</v>
      </c>
      <c r="I17" s="96">
        <v>307.2</v>
      </c>
      <c r="J17" s="96" t="s">
        <v>287</v>
      </c>
      <c r="K17" s="438">
        <v>100</v>
      </c>
      <c r="L17" s="96">
        <v>100</v>
      </c>
      <c r="M17" s="99" t="s">
        <v>367</v>
      </c>
      <c r="N17" s="99" t="s">
        <v>321</v>
      </c>
    </row>
    <row r="18" spans="1:14" x14ac:dyDescent="0.3">
      <c r="A18" s="93" t="s">
        <v>297</v>
      </c>
      <c r="B18" s="94" t="s">
        <v>347</v>
      </c>
      <c r="C18" s="95">
        <v>9.6</v>
      </c>
      <c r="D18" s="95">
        <v>0</v>
      </c>
      <c r="E18" s="96">
        <v>75.599999999999994</v>
      </c>
      <c r="F18" s="101">
        <v>75.600000000000009</v>
      </c>
      <c r="G18" s="96">
        <v>-1.4210854715202004E-14</v>
      </c>
      <c r="H18" s="97">
        <v>1</v>
      </c>
      <c r="I18" s="96">
        <v>66.7</v>
      </c>
      <c r="J18" s="96" t="s">
        <v>287</v>
      </c>
      <c r="K18" s="438">
        <v>95</v>
      </c>
      <c r="L18" s="96">
        <v>100</v>
      </c>
      <c r="M18" s="99" t="s">
        <v>319</v>
      </c>
      <c r="N18" s="99" t="s">
        <v>320</v>
      </c>
    </row>
    <row r="19" spans="1:14" x14ac:dyDescent="0.3">
      <c r="A19" s="93" t="s">
        <v>298</v>
      </c>
      <c r="B19" s="94" t="s">
        <v>347</v>
      </c>
      <c r="C19" s="95">
        <v>9.6</v>
      </c>
      <c r="D19" s="95">
        <v>0</v>
      </c>
      <c r="E19" s="95">
        <v>107.9</v>
      </c>
      <c r="F19" s="102">
        <v>107.9</v>
      </c>
      <c r="G19" s="96">
        <v>0</v>
      </c>
      <c r="H19" s="97">
        <v>1</v>
      </c>
      <c r="I19" s="96">
        <v>108.9</v>
      </c>
      <c r="J19" s="96">
        <v>49.2</v>
      </c>
      <c r="K19" s="438">
        <v>100</v>
      </c>
      <c r="L19" s="96">
        <v>41</v>
      </c>
      <c r="M19" s="99" t="s">
        <v>368</v>
      </c>
      <c r="N19" s="99" t="s">
        <v>323</v>
      </c>
    </row>
    <row r="20" spans="1:14" x14ac:dyDescent="0.3">
      <c r="A20" s="93" t="s">
        <v>142</v>
      </c>
      <c r="B20" s="94" t="s">
        <v>131</v>
      </c>
      <c r="C20" s="95">
        <v>60</v>
      </c>
      <c r="D20" s="95">
        <v>3.7999999999999989</v>
      </c>
      <c r="E20" s="96">
        <v>402.3</v>
      </c>
      <c r="F20" s="102">
        <v>381.4</v>
      </c>
      <c r="G20" s="96">
        <v>20.900000000000034</v>
      </c>
      <c r="H20" s="97">
        <v>1</v>
      </c>
      <c r="I20" s="96">
        <v>354.8</v>
      </c>
      <c r="J20" s="96">
        <v>122.5</v>
      </c>
      <c r="K20" s="438">
        <v>92</v>
      </c>
      <c r="L20" s="96">
        <v>45</v>
      </c>
      <c r="M20" s="99" t="s">
        <v>369</v>
      </c>
      <c r="N20" s="99" t="s">
        <v>324</v>
      </c>
    </row>
    <row r="21" spans="1:14" x14ac:dyDescent="0.3">
      <c r="A21" s="103" t="s">
        <v>362</v>
      </c>
      <c r="B21" s="94" t="s">
        <v>131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6">
        <v>0</v>
      </c>
      <c r="I21" s="105">
        <v>0</v>
      </c>
      <c r="J21" s="105">
        <v>154.5</v>
      </c>
      <c r="K21" s="438">
        <v>0</v>
      </c>
      <c r="L21" s="105">
        <v>0</v>
      </c>
      <c r="M21" s="105">
        <v>0</v>
      </c>
      <c r="N21" s="105"/>
    </row>
    <row r="22" spans="1:14" x14ac:dyDescent="0.3">
      <c r="A22" s="691" t="s">
        <v>90</v>
      </c>
      <c r="B22" s="692"/>
      <c r="C22" s="107">
        <v>1535.6199999999994</v>
      </c>
      <c r="D22" s="107">
        <v>370.28553118396309</v>
      </c>
      <c r="E22" s="107">
        <v>15883.58</v>
      </c>
      <c r="F22" s="107">
        <v>8011.5420000000004</v>
      </c>
      <c r="G22" s="107">
        <v>7872.0379999999996</v>
      </c>
      <c r="H22" s="108"/>
      <c r="I22" s="107">
        <v>7877.7999999999993</v>
      </c>
      <c r="J22" s="107">
        <v>326.2</v>
      </c>
      <c r="K22" s="107"/>
      <c r="L22" s="107"/>
      <c r="M22" s="107"/>
      <c r="N22" s="107"/>
    </row>
    <row r="23" spans="1:14" x14ac:dyDescent="0.3">
      <c r="A23" s="109"/>
      <c r="B23" s="374"/>
      <c r="C23" s="374"/>
      <c r="D23" s="110"/>
      <c r="E23" s="110"/>
      <c r="F23" s="110"/>
      <c r="G23" s="110"/>
      <c r="H23" s="111"/>
      <c r="I23" s="110"/>
      <c r="J23" s="110"/>
      <c r="K23" s="110"/>
      <c r="L23" s="110"/>
      <c r="M23" s="111"/>
      <c r="N23" s="111"/>
    </row>
    <row r="24" spans="1:14" x14ac:dyDescent="0.3">
      <c r="A24" s="93" t="s">
        <v>299</v>
      </c>
      <c r="B24" s="94" t="s">
        <v>143</v>
      </c>
      <c r="C24" s="95">
        <v>448</v>
      </c>
      <c r="D24" s="98">
        <v>100.75603047490475</v>
      </c>
      <c r="E24" s="99">
        <v>3682</v>
      </c>
      <c r="F24" s="99">
        <v>1075.2</v>
      </c>
      <c r="G24" s="96">
        <v>2606.8000000000002</v>
      </c>
      <c r="H24" s="97">
        <v>1</v>
      </c>
      <c r="I24" s="96">
        <v>978.3</v>
      </c>
      <c r="J24" s="96">
        <v>78.400000000000006</v>
      </c>
      <c r="K24" s="438">
        <v>92</v>
      </c>
      <c r="L24" s="96">
        <v>24</v>
      </c>
      <c r="M24" s="99" t="s">
        <v>327</v>
      </c>
      <c r="N24" s="99" t="s">
        <v>351</v>
      </c>
    </row>
    <row r="25" spans="1:14" x14ac:dyDescent="0.3">
      <c r="A25" s="93" t="s">
        <v>288</v>
      </c>
      <c r="B25" s="94" t="s">
        <v>143</v>
      </c>
      <c r="C25" s="95">
        <v>98</v>
      </c>
      <c r="D25" s="95">
        <v>26.110829523</v>
      </c>
      <c r="E25" s="96">
        <v>1263.2</v>
      </c>
      <c r="F25" s="96">
        <v>1263.2</v>
      </c>
      <c r="G25" s="96">
        <v>0</v>
      </c>
      <c r="H25" s="97">
        <v>1</v>
      </c>
      <c r="I25" s="96">
        <v>1242.7</v>
      </c>
      <c r="J25" s="96" t="s">
        <v>287</v>
      </c>
      <c r="K25" s="438">
        <v>100</v>
      </c>
      <c r="L25" s="96">
        <v>100</v>
      </c>
      <c r="M25" s="99" t="s">
        <v>363</v>
      </c>
      <c r="N25" s="99" t="s">
        <v>325</v>
      </c>
    </row>
    <row r="26" spans="1:14" x14ac:dyDescent="0.3">
      <c r="A26" s="93" t="s">
        <v>144</v>
      </c>
      <c r="B26" s="94" t="s">
        <v>143</v>
      </c>
      <c r="C26" s="95">
        <v>19.239999999999998</v>
      </c>
      <c r="D26" s="95">
        <v>0</v>
      </c>
      <c r="E26" s="96">
        <v>674</v>
      </c>
      <c r="F26" s="96">
        <v>674</v>
      </c>
      <c r="G26" s="96">
        <v>0</v>
      </c>
      <c r="H26" s="97">
        <v>1</v>
      </c>
      <c r="I26" s="96">
        <v>283.2</v>
      </c>
      <c r="J26" s="96">
        <v>129</v>
      </c>
      <c r="K26" s="438">
        <v>46</v>
      </c>
      <c r="L26" s="96">
        <v>43</v>
      </c>
      <c r="M26" s="99" t="s">
        <v>370</v>
      </c>
      <c r="N26" s="99" t="s">
        <v>326</v>
      </c>
    </row>
    <row r="27" spans="1:14" x14ac:dyDescent="0.3">
      <c r="A27" s="93" t="s">
        <v>145</v>
      </c>
      <c r="B27" s="94" t="s">
        <v>146</v>
      </c>
      <c r="C27" s="95">
        <v>3.06</v>
      </c>
      <c r="D27" s="95">
        <v>0</v>
      </c>
      <c r="E27" s="95">
        <v>307.10000000000002</v>
      </c>
      <c r="F27" s="95">
        <v>307.10000000000002</v>
      </c>
      <c r="G27" s="96">
        <v>0</v>
      </c>
      <c r="H27" s="97">
        <v>1</v>
      </c>
      <c r="I27" s="96">
        <v>307.10000000000002</v>
      </c>
      <c r="J27" s="96">
        <v>0</v>
      </c>
      <c r="K27" s="438">
        <v>100</v>
      </c>
      <c r="L27" s="96">
        <v>100</v>
      </c>
      <c r="M27" s="99" t="s">
        <v>327</v>
      </c>
      <c r="N27" s="99" t="s">
        <v>327</v>
      </c>
    </row>
    <row r="28" spans="1:14" x14ac:dyDescent="0.3">
      <c r="A28" s="93" t="s">
        <v>147</v>
      </c>
      <c r="B28" s="94" t="s">
        <v>146</v>
      </c>
      <c r="C28" s="95">
        <v>6</v>
      </c>
      <c r="D28" s="98">
        <v>0</v>
      </c>
      <c r="E28" s="99">
        <v>1257.9000000000001</v>
      </c>
      <c r="F28" s="99">
        <v>1257.9000000000001</v>
      </c>
      <c r="G28" s="96">
        <v>0</v>
      </c>
      <c r="H28" s="97">
        <v>1</v>
      </c>
      <c r="I28" s="96">
        <v>1257.9000000000001</v>
      </c>
      <c r="J28" s="96">
        <v>0</v>
      </c>
      <c r="K28" s="438">
        <v>100</v>
      </c>
      <c r="L28" s="96">
        <v>100</v>
      </c>
      <c r="M28" s="99" t="s">
        <v>313</v>
      </c>
      <c r="N28" s="99" t="s">
        <v>313</v>
      </c>
    </row>
    <row r="29" spans="1:14" x14ac:dyDescent="0.3">
      <c r="A29" s="93" t="s">
        <v>148</v>
      </c>
      <c r="B29" s="94" t="s">
        <v>146</v>
      </c>
      <c r="C29" s="95">
        <v>1.65</v>
      </c>
      <c r="D29" s="98">
        <v>0</v>
      </c>
      <c r="E29" s="99">
        <v>470.7</v>
      </c>
      <c r="F29" s="99">
        <v>470.7</v>
      </c>
      <c r="G29" s="96">
        <v>0</v>
      </c>
      <c r="H29" s="97">
        <v>1</v>
      </c>
      <c r="I29" s="96">
        <v>470.7</v>
      </c>
      <c r="J29" s="96">
        <v>0</v>
      </c>
      <c r="K29" s="438">
        <v>100</v>
      </c>
      <c r="L29" s="96">
        <v>100</v>
      </c>
      <c r="M29" s="99" t="s">
        <v>313</v>
      </c>
      <c r="N29" s="99" t="s">
        <v>313</v>
      </c>
    </row>
    <row r="30" spans="1:14" x14ac:dyDescent="0.3">
      <c r="A30" s="93" t="s">
        <v>149</v>
      </c>
      <c r="B30" s="94" t="s">
        <v>146</v>
      </c>
      <c r="C30" s="95">
        <v>6.6</v>
      </c>
      <c r="D30" s="98">
        <v>0</v>
      </c>
      <c r="E30" s="99">
        <v>971.3</v>
      </c>
      <c r="F30" s="99">
        <v>971.3</v>
      </c>
      <c r="G30" s="96">
        <v>0</v>
      </c>
      <c r="H30" s="97">
        <v>1</v>
      </c>
      <c r="I30" s="96">
        <v>971.3</v>
      </c>
      <c r="J30" s="96">
        <v>0</v>
      </c>
      <c r="K30" s="438">
        <v>100</v>
      </c>
      <c r="L30" s="96">
        <v>100</v>
      </c>
      <c r="M30" s="99" t="s">
        <v>328</v>
      </c>
      <c r="N30" s="99" t="s">
        <v>328</v>
      </c>
    </row>
    <row r="31" spans="1:14" x14ac:dyDescent="0.3">
      <c r="A31" s="464" t="s">
        <v>150</v>
      </c>
      <c r="B31" s="94" t="s">
        <v>146</v>
      </c>
      <c r="C31" s="95">
        <v>18.760000000000002</v>
      </c>
      <c r="D31" s="98">
        <v>12.56</v>
      </c>
      <c r="E31" s="99">
        <v>3343</v>
      </c>
      <c r="F31" s="99">
        <v>781.9</v>
      </c>
      <c r="G31" s="96">
        <v>2561.1</v>
      </c>
      <c r="H31" s="97">
        <v>1</v>
      </c>
      <c r="I31" s="96">
        <v>780.1</v>
      </c>
      <c r="J31" s="96">
        <v>0</v>
      </c>
      <c r="K31" s="438">
        <v>100</v>
      </c>
      <c r="L31" s="96">
        <v>0</v>
      </c>
      <c r="M31" s="99" t="s">
        <v>371</v>
      </c>
      <c r="N31" s="99" t="s">
        <v>329</v>
      </c>
    </row>
    <row r="32" spans="1:14" x14ac:dyDescent="0.3">
      <c r="A32" s="93" t="s">
        <v>300</v>
      </c>
      <c r="B32" s="94" t="s">
        <v>146</v>
      </c>
      <c r="C32" s="95">
        <v>2.4</v>
      </c>
      <c r="D32" s="98">
        <v>0</v>
      </c>
      <c r="E32" s="99">
        <v>324.89999999999998</v>
      </c>
      <c r="F32" s="99">
        <v>324.89999999999998</v>
      </c>
      <c r="G32" s="96">
        <v>0</v>
      </c>
      <c r="H32" s="97">
        <v>1</v>
      </c>
      <c r="I32" s="96">
        <v>324.89999999999998</v>
      </c>
      <c r="J32" s="96">
        <v>0</v>
      </c>
      <c r="K32" s="438">
        <v>100</v>
      </c>
      <c r="L32" s="96">
        <v>100</v>
      </c>
      <c r="M32" s="99" t="s">
        <v>319</v>
      </c>
      <c r="N32" s="99" t="s">
        <v>330</v>
      </c>
    </row>
    <row r="33" spans="1:16" x14ac:dyDescent="0.3">
      <c r="A33" s="93" t="s">
        <v>151</v>
      </c>
      <c r="B33" s="94" t="s">
        <v>146</v>
      </c>
      <c r="C33" s="95">
        <v>2.1</v>
      </c>
      <c r="D33" s="98">
        <v>0</v>
      </c>
      <c r="E33" s="99">
        <v>215.7</v>
      </c>
      <c r="F33" s="99">
        <v>215.7</v>
      </c>
      <c r="G33" s="96">
        <v>0</v>
      </c>
      <c r="H33" s="97">
        <v>1</v>
      </c>
      <c r="I33" s="96">
        <v>215.7</v>
      </c>
      <c r="J33" s="96" t="s">
        <v>287</v>
      </c>
      <c r="K33" s="438">
        <v>100</v>
      </c>
      <c r="L33" s="96">
        <v>100</v>
      </c>
      <c r="M33" s="99" t="s">
        <v>319</v>
      </c>
      <c r="N33" s="99" t="s">
        <v>331</v>
      </c>
    </row>
    <row r="34" spans="1:16" x14ac:dyDescent="0.3">
      <c r="A34" s="93" t="s">
        <v>301</v>
      </c>
      <c r="B34" s="94" t="s">
        <v>146</v>
      </c>
      <c r="C34" s="95">
        <v>2.9</v>
      </c>
      <c r="D34" s="95">
        <v>0</v>
      </c>
      <c r="E34" s="95">
        <v>546.79999999999995</v>
      </c>
      <c r="F34" s="95">
        <v>546.79999999999995</v>
      </c>
      <c r="G34" s="96">
        <v>0</v>
      </c>
      <c r="H34" s="97">
        <v>1</v>
      </c>
      <c r="I34" s="96">
        <v>495.3</v>
      </c>
      <c r="J34" s="96">
        <v>227.8</v>
      </c>
      <c r="K34" s="438">
        <v>89</v>
      </c>
      <c r="L34" s="96">
        <v>74</v>
      </c>
      <c r="M34" s="99" t="s">
        <v>369</v>
      </c>
      <c r="N34" s="99" t="s">
        <v>332</v>
      </c>
    </row>
    <row r="35" spans="1:16" x14ac:dyDescent="0.3">
      <c r="A35" s="93" t="s">
        <v>271</v>
      </c>
      <c r="B35" s="94" t="s">
        <v>146</v>
      </c>
      <c r="C35" s="95">
        <v>6.22</v>
      </c>
      <c r="D35" s="95">
        <v>0</v>
      </c>
      <c r="E35" s="96">
        <v>981</v>
      </c>
      <c r="F35" s="96">
        <v>981</v>
      </c>
      <c r="G35" s="96">
        <v>0</v>
      </c>
      <c r="H35" s="97">
        <v>1</v>
      </c>
      <c r="I35" s="96">
        <v>505.5</v>
      </c>
      <c r="J35" s="96">
        <v>409</v>
      </c>
      <c r="K35" s="438">
        <v>50</v>
      </c>
      <c r="L35" s="96">
        <v>16</v>
      </c>
      <c r="M35" s="99" t="s">
        <v>369</v>
      </c>
      <c r="N35" s="99" t="s">
        <v>324</v>
      </c>
    </row>
    <row r="36" spans="1:16" x14ac:dyDescent="0.3">
      <c r="A36" s="93" t="s">
        <v>152</v>
      </c>
      <c r="B36" s="94" t="s">
        <v>146</v>
      </c>
      <c r="C36" s="95">
        <v>3.4</v>
      </c>
      <c r="D36" s="95">
        <v>0</v>
      </c>
      <c r="E36" s="96">
        <v>747.5</v>
      </c>
      <c r="F36" s="96">
        <v>747.5</v>
      </c>
      <c r="G36" s="96">
        <v>0</v>
      </c>
      <c r="H36" s="97">
        <v>1</v>
      </c>
      <c r="I36" s="96">
        <v>249.1</v>
      </c>
      <c r="J36" s="96">
        <v>224.2</v>
      </c>
      <c r="K36" s="438">
        <v>37</v>
      </c>
      <c r="L36" s="96">
        <v>13</v>
      </c>
      <c r="M36" s="99" t="s">
        <v>372</v>
      </c>
      <c r="N36" s="99" t="s">
        <v>333</v>
      </c>
    </row>
    <row r="37" spans="1:16" x14ac:dyDescent="0.3">
      <c r="A37" s="464" t="s">
        <v>153</v>
      </c>
      <c r="B37" s="94" t="s">
        <v>146</v>
      </c>
      <c r="C37" s="95">
        <v>72.7</v>
      </c>
      <c r="D37" s="95">
        <v>59.126936135512821</v>
      </c>
      <c r="E37" s="99">
        <v>17360.3</v>
      </c>
      <c r="F37" s="99">
        <v>1378.6</v>
      </c>
      <c r="G37" s="96">
        <v>15981.699999999999</v>
      </c>
      <c r="H37" s="97" t="s">
        <v>154</v>
      </c>
      <c r="I37" s="96">
        <v>750.6</v>
      </c>
      <c r="J37" s="96">
        <v>345.1</v>
      </c>
      <c r="K37" s="438">
        <v>56</v>
      </c>
      <c r="L37" s="96">
        <v>44</v>
      </c>
      <c r="M37" s="99" t="s">
        <v>368</v>
      </c>
      <c r="N37" s="99" t="s">
        <v>322</v>
      </c>
    </row>
    <row r="38" spans="1:16" x14ac:dyDescent="0.3">
      <c r="A38" s="690" t="s">
        <v>91</v>
      </c>
      <c r="B38" s="690"/>
      <c r="C38" s="107">
        <v>691.03</v>
      </c>
      <c r="D38" s="107">
        <v>198.55379613341756</v>
      </c>
      <c r="E38" s="107">
        <v>32145.4</v>
      </c>
      <c r="F38" s="107">
        <v>10995.8</v>
      </c>
      <c r="G38" s="107">
        <v>21149.599999999999</v>
      </c>
      <c r="H38" s="112"/>
      <c r="I38" s="107">
        <v>8832.4</v>
      </c>
      <c r="J38" s="107">
        <v>1413.5</v>
      </c>
      <c r="K38" s="475"/>
      <c r="L38" s="107"/>
      <c r="M38" s="107"/>
      <c r="N38" s="107"/>
      <c r="P38" s="458"/>
    </row>
    <row r="39" spans="1:16" x14ac:dyDescent="0.3">
      <c r="A39" s="109"/>
      <c r="B39" s="374"/>
      <c r="C39" s="374"/>
      <c r="D39" s="110"/>
      <c r="E39" s="110"/>
      <c r="F39" s="110"/>
      <c r="G39" s="110"/>
      <c r="H39" s="111"/>
      <c r="I39" s="110"/>
      <c r="J39" s="110"/>
      <c r="K39" s="110"/>
      <c r="L39" s="110"/>
      <c r="M39" s="111"/>
      <c r="N39" s="111"/>
    </row>
    <row r="40" spans="1:16" x14ac:dyDescent="0.3">
      <c r="A40" s="113" t="s">
        <v>155</v>
      </c>
      <c r="B40" s="108" t="s">
        <v>156</v>
      </c>
      <c r="C40" s="95">
        <v>1.33</v>
      </c>
      <c r="D40" s="107">
        <v>0</v>
      </c>
      <c r="E40" s="107">
        <v>873.7</v>
      </c>
      <c r="F40" s="107">
        <v>873.7</v>
      </c>
      <c r="G40" s="107">
        <v>0</v>
      </c>
      <c r="H40" s="97">
        <v>1</v>
      </c>
      <c r="I40" s="107">
        <v>873.7</v>
      </c>
      <c r="J40" s="107">
        <v>873.7</v>
      </c>
      <c r="K40" s="439">
        <v>100</v>
      </c>
      <c r="L40" s="107" t="s">
        <v>287</v>
      </c>
      <c r="M40" s="620" t="s">
        <v>372</v>
      </c>
      <c r="N40" s="107"/>
    </row>
    <row r="41" spans="1:16" x14ac:dyDescent="0.3">
      <c r="A41" s="690" t="s">
        <v>92</v>
      </c>
      <c r="B41" s="690"/>
      <c r="C41" s="107">
        <v>1.33</v>
      </c>
      <c r="D41" s="107">
        <v>0</v>
      </c>
      <c r="E41" s="107">
        <v>873.7</v>
      </c>
      <c r="F41" s="107">
        <v>873.7</v>
      </c>
      <c r="G41" s="107">
        <v>0</v>
      </c>
      <c r="H41" s="114"/>
      <c r="I41" s="107">
        <v>873.7</v>
      </c>
      <c r="J41" s="107">
        <v>873.7</v>
      </c>
      <c r="K41" s="107"/>
      <c r="L41" s="107"/>
      <c r="M41" s="107"/>
      <c r="N41" s="107"/>
    </row>
    <row r="42" spans="1:16" x14ac:dyDescent="0.3">
      <c r="A42" s="109"/>
      <c r="B42" s="374"/>
      <c r="C42" s="374"/>
      <c r="D42" s="110"/>
      <c r="E42" s="110"/>
      <c r="F42" s="110"/>
      <c r="G42" s="110"/>
      <c r="H42" s="111"/>
      <c r="I42" s="110"/>
      <c r="J42" s="110"/>
      <c r="K42" s="110"/>
      <c r="L42" s="110"/>
      <c r="M42" s="111"/>
      <c r="N42" s="111"/>
    </row>
    <row r="43" spans="1:16" x14ac:dyDescent="0.3">
      <c r="A43" s="115" t="s">
        <v>157</v>
      </c>
      <c r="B43" s="108"/>
      <c r="C43" s="108"/>
      <c r="D43" s="107">
        <v>568.83932731738059</v>
      </c>
      <c r="E43" s="107">
        <v>48902.68</v>
      </c>
      <c r="F43" s="107">
        <v>19881.042000000001</v>
      </c>
      <c r="G43" s="107">
        <v>29021.637999999999</v>
      </c>
      <c r="H43" s="112"/>
      <c r="I43" s="107">
        <v>17583.899999999998</v>
      </c>
      <c r="J43" s="107">
        <v>2613.4</v>
      </c>
      <c r="K43" s="107"/>
      <c r="L43" s="107"/>
      <c r="M43" s="107"/>
      <c r="N43" s="107"/>
    </row>
    <row r="44" spans="1:16" x14ac:dyDescent="0.3">
      <c r="A44" s="116"/>
      <c r="B44" s="124"/>
      <c r="C44" s="124"/>
      <c r="D44" s="116"/>
      <c r="E44" s="116"/>
      <c r="F44" s="116"/>
      <c r="G44" s="116"/>
      <c r="H44" s="116"/>
    </row>
    <row r="45" spans="1:16" ht="25.2" x14ac:dyDescent="0.3">
      <c r="A45" s="117" t="s">
        <v>158</v>
      </c>
      <c r="B45" s="90" t="s">
        <v>124</v>
      </c>
      <c r="C45" s="437" t="s">
        <v>296</v>
      </c>
      <c r="D45" s="118" t="s">
        <v>272</v>
      </c>
      <c r="E45" s="118" t="s">
        <v>160</v>
      </c>
      <c r="F45" s="91" t="s">
        <v>127</v>
      </c>
      <c r="G45" s="91" t="s">
        <v>128</v>
      </c>
      <c r="H45" s="369" t="s">
        <v>129</v>
      </c>
    </row>
    <row r="46" spans="1:16" x14ac:dyDescent="0.3">
      <c r="A46" s="119" t="s">
        <v>161</v>
      </c>
      <c r="B46" s="94" t="s">
        <v>131</v>
      </c>
      <c r="C46" s="120">
        <v>2252.3885498208697</v>
      </c>
      <c r="D46" s="120">
        <v>2252.3885498208697</v>
      </c>
      <c r="E46" s="121">
        <v>29823</v>
      </c>
      <c r="F46" s="96">
        <v>0</v>
      </c>
      <c r="G46" s="96">
        <v>29823</v>
      </c>
      <c r="H46" s="370">
        <v>1</v>
      </c>
      <c r="I46" t="s">
        <v>344</v>
      </c>
    </row>
    <row r="47" spans="1:16" x14ac:dyDescent="0.3">
      <c r="A47" s="690" t="s">
        <v>90</v>
      </c>
      <c r="B47" s="690"/>
      <c r="C47" s="107">
        <v>2252.3885498208697</v>
      </c>
      <c r="D47" s="107">
        <v>2252.3885498208697</v>
      </c>
      <c r="E47" s="107">
        <v>29823</v>
      </c>
      <c r="F47" s="107">
        <v>0</v>
      </c>
      <c r="G47" s="107">
        <v>29823</v>
      </c>
      <c r="H47" s="112"/>
    </row>
    <row r="48" spans="1:16" x14ac:dyDescent="0.3">
      <c r="A48" s="109"/>
      <c r="B48" s="374"/>
      <c r="C48" s="374"/>
      <c r="D48" s="110"/>
      <c r="E48" s="110"/>
      <c r="F48" s="371"/>
      <c r="G48" s="371"/>
      <c r="H48" s="371"/>
    </row>
    <row r="49" spans="1:14" x14ac:dyDescent="0.3">
      <c r="A49" s="93" t="s">
        <v>162</v>
      </c>
      <c r="B49" s="94" t="s">
        <v>146</v>
      </c>
      <c r="C49" s="94">
        <v>1.59</v>
      </c>
      <c r="D49" s="95">
        <v>1.59</v>
      </c>
      <c r="E49" s="95">
        <v>1903.6</v>
      </c>
      <c r="F49" s="96">
        <v>0</v>
      </c>
      <c r="G49" s="96">
        <v>1903.6</v>
      </c>
      <c r="H49" s="97">
        <v>1</v>
      </c>
    </row>
    <row r="50" spans="1:14" x14ac:dyDescent="0.3">
      <c r="A50" s="93" t="s">
        <v>163</v>
      </c>
      <c r="B50" s="94" t="s">
        <v>146</v>
      </c>
      <c r="C50" s="440">
        <v>12.4074822</v>
      </c>
      <c r="D50" s="95">
        <v>6.18891144</v>
      </c>
      <c r="E50" s="95">
        <v>822</v>
      </c>
      <c r="F50" s="96">
        <v>0</v>
      </c>
      <c r="G50" s="96">
        <v>822</v>
      </c>
      <c r="H50" s="97">
        <v>1</v>
      </c>
    </row>
    <row r="51" spans="1:14" x14ac:dyDescent="0.3">
      <c r="A51" s="93" t="s">
        <v>164</v>
      </c>
      <c r="B51" s="94" t="s">
        <v>146</v>
      </c>
      <c r="C51" s="94">
        <v>9.93</v>
      </c>
      <c r="D51" s="384">
        <v>11.45</v>
      </c>
      <c r="E51" s="95">
        <v>0</v>
      </c>
      <c r="F51" s="96">
        <v>0</v>
      </c>
      <c r="G51" s="96">
        <v>0</v>
      </c>
      <c r="H51" s="97">
        <v>1</v>
      </c>
    </row>
    <row r="52" spans="1:14" x14ac:dyDescent="0.3">
      <c r="A52" s="93" t="s">
        <v>165</v>
      </c>
      <c r="B52" s="94" t="s">
        <v>146</v>
      </c>
      <c r="C52" s="94">
        <v>6.86</v>
      </c>
      <c r="D52" s="95">
        <v>3.46</v>
      </c>
      <c r="E52" s="95">
        <v>691.3</v>
      </c>
      <c r="F52" s="96">
        <v>0</v>
      </c>
      <c r="G52" s="96">
        <v>691.3</v>
      </c>
      <c r="H52" s="97">
        <v>1</v>
      </c>
    </row>
    <row r="53" spans="1:14" x14ac:dyDescent="0.3">
      <c r="A53" s="93" t="s">
        <v>166</v>
      </c>
      <c r="B53" s="94" t="s">
        <v>143</v>
      </c>
      <c r="C53" s="94">
        <v>9.93</v>
      </c>
      <c r="D53" s="95">
        <v>9.93</v>
      </c>
      <c r="E53" s="95">
        <v>1297.3</v>
      </c>
      <c r="F53" s="96">
        <v>0</v>
      </c>
      <c r="G53" s="96">
        <v>1297.3</v>
      </c>
      <c r="H53" s="97">
        <v>1</v>
      </c>
    </row>
    <row r="54" spans="1:14" x14ac:dyDescent="0.3">
      <c r="A54" s="93" t="s">
        <v>167</v>
      </c>
      <c r="B54" s="94" t="s">
        <v>143</v>
      </c>
      <c r="C54" s="94">
        <v>6.86</v>
      </c>
      <c r="D54" s="95">
        <v>9.0500000000000007</v>
      </c>
      <c r="E54" s="95">
        <v>1061</v>
      </c>
      <c r="F54" s="96">
        <v>0</v>
      </c>
      <c r="G54" s="96">
        <v>1061</v>
      </c>
      <c r="H54" s="97">
        <v>1</v>
      </c>
    </row>
    <row r="55" spans="1:14" x14ac:dyDescent="0.3">
      <c r="A55" s="690" t="s">
        <v>91</v>
      </c>
      <c r="B55" s="690"/>
      <c r="C55" s="107">
        <v>47.577482199999999</v>
      </c>
      <c r="D55" s="107">
        <v>41.668911440000002</v>
      </c>
      <c r="E55" s="107">
        <v>5775.2</v>
      </c>
      <c r="F55" s="107">
        <v>0</v>
      </c>
      <c r="G55" s="107">
        <v>5775.2</v>
      </c>
      <c r="H55" s="112"/>
    </row>
    <row r="56" spans="1:14" x14ac:dyDescent="0.3">
      <c r="A56" s="109"/>
      <c r="B56" s="374"/>
      <c r="C56" s="374"/>
      <c r="D56" s="110"/>
      <c r="E56" s="110"/>
      <c r="F56" s="371"/>
      <c r="G56" s="371"/>
      <c r="H56" s="371"/>
    </row>
    <row r="57" spans="1:14" x14ac:dyDescent="0.3">
      <c r="A57" s="93" t="s">
        <v>168</v>
      </c>
      <c r="B57" s="123" t="s">
        <v>169</v>
      </c>
      <c r="C57" s="123">
        <v>1.22</v>
      </c>
      <c r="D57" s="96">
        <v>1.22</v>
      </c>
      <c r="E57" s="95">
        <v>1346.67</v>
      </c>
      <c r="F57" s="439">
        <v>0</v>
      </c>
      <c r="G57" s="96">
        <v>1346.67</v>
      </c>
      <c r="H57" s="97">
        <v>1</v>
      </c>
    </row>
    <row r="58" spans="1:14" x14ac:dyDescent="0.3">
      <c r="A58" s="690" t="s">
        <v>92</v>
      </c>
      <c r="B58" s="690"/>
      <c r="C58" s="107">
        <v>1.22</v>
      </c>
      <c r="D58" s="107">
        <v>1.22</v>
      </c>
      <c r="E58" s="107">
        <v>1346.67</v>
      </c>
      <c r="F58" s="410">
        <v>0</v>
      </c>
      <c r="G58" s="107">
        <v>1346.67</v>
      </c>
      <c r="H58" s="112"/>
    </row>
    <row r="59" spans="1:14" x14ac:dyDescent="0.3">
      <c r="A59" s="109"/>
      <c r="B59" s="374"/>
      <c r="C59" s="374"/>
      <c r="D59" s="110"/>
      <c r="E59" s="110"/>
      <c r="F59" s="371"/>
      <c r="G59" s="371"/>
      <c r="H59" s="371"/>
    </row>
    <row r="60" spans="1:14" x14ac:dyDescent="0.3">
      <c r="A60" s="115" t="s">
        <v>170</v>
      </c>
      <c r="B60" s="108"/>
      <c r="C60" s="108"/>
      <c r="D60" s="107">
        <v>2295.2774612608696</v>
      </c>
      <c r="E60" s="107">
        <v>36944.869999999995</v>
      </c>
      <c r="F60" s="107">
        <v>0</v>
      </c>
      <c r="G60" s="107">
        <v>36944.869999999995</v>
      </c>
      <c r="H60" s="112"/>
    </row>
    <row r="61" spans="1:14" x14ac:dyDescent="0.3">
      <c r="A61" s="409" t="s">
        <v>281</v>
      </c>
      <c r="B61" s="373"/>
      <c r="C61" s="373"/>
      <c r="D61" s="410"/>
      <c r="E61" s="410"/>
      <c r="F61" s="88"/>
      <c r="G61" s="88"/>
      <c r="H61" s="88"/>
    </row>
    <row r="62" spans="1:14" x14ac:dyDescent="0.3">
      <c r="A62" s="88" t="s">
        <v>282</v>
      </c>
      <c r="B62" s="373"/>
      <c r="C62" s="373"/>
      <c r="D62" s="410"/>
      <c r="E62" s="410"/>
      <c r="F62" s="88"/>
      <c r="G62" s="88"/>
      <c r="H62" s="88"/>
    </row>
    <row r="63" spans="1:14" x14ac:dyDescent="0.3">
      <c r="A63" s="88" t="s">
        <v>283</v>
      </c>
      <c r="B63" s="373"/>
      <c r="C63" s="373"/>
      <c r="D63" s="410"/>
      <c r="E63" s="410"/>
      <c r="F63" s="88"/>
      <c r="G63" s="88"/>
      <c r="H63" s="88"/>
    </row>
    <row r="64" spans="1:14" x14ac:dyDescent="0.3">
      <c r="A64" s="411"/>
      <c r="B64" s="373"/>
      <c r="C64" s="373"/>
      <c r="D64" s="410"/>
      <c r="E64" s="410"/>
      <c r="F64" s="88"/>
      <c r="G64" s="88"/>
      <c r="H64" s="88"/>
      <c r="I64" s="88"/>
      <c r="J64" s="88"/>
      <c r="K64" s="88"/>
      <c r="L64" s="88"/>
      <c r="M64" s="88"/>
      <c r="N64" s="88"/>
    </row>
    <row r="65" spans="1:14" x14ac:dyDescent="0.3">
      <c r="A65" s="411" t="s">
        <v>171</v>
      </c>
      <c r="B65" s="373"/>
      <c r="C65" s="373"/>
      <c r="D65" s="410"/>
      <c r="E65" s="410"/>
      <c r="F65" s="88"/>
      <c r="G65" s="88"/>
      <c r="H65" s="88"/>
      <c r="I65" s="88"/>
      <c r="J65" s="88"/>
      <c r="K65" s="88"/>
      <c r="L65" s="88"/>
      <c r="M65" s="88"/>
      <c r="N65" s="88"/>
    </row>
    <row r="66" spans="1:14" ht="25.2" x14ac:dyDescent="0.3">
      <c r="A66" s="432" t="s">
        <v>172</v>
      </c>
      <c r="B66" s="433" t="s">
        <v>124</v>
      </c>
      <c r="C66" s="437" t="s">
        <v>296</v>
      </c>
      <c r="D66" s="434" t="s">
        <v>125</v>
      </c>
      <c r="E66" s="410"/>
      <c r="F66" s="88"/>
      <c r="G66" s="88"/>
      <c r="H66" s="88"/>
      <c r="I66" s="88"/>
      <c r="J66" s="88"/>
      <c r="K66" s="88"/>
      <c r="L66" s="88"/>
      <c r="M66" s="88"/>
      <c r="N66" s="88"/>
    </row>
    <row r="67" spans="1:14" x14ac:dyDescent="0.3">
      <c r="A67" s="119" t="s">
        <v>173</v>
      </c>
      <c r="B67" s="412" t="s">
        <v>173</v>
      </c>
      <c r="C67" s="441">
        <v>96.270227418190672</v>
      </c>
      <c r="D67" s="120">
        <v>96.270227418190672</v>
      </c>
      <c r="E67" s="465" t="s">
        <v>352</v>
      </c>
      <c r="F67" s="88"/>
      <c r="G67" s="88"/>
      <c r="H67" s="88"/>
      <c r="I67" s="88"/>
      <c r="J67" s="88"/>
      <c r="K67" s="88"/>
      <c r="L67" s="88"/>
      <c r="M67" s="88"/>
      <c r="N67" s="88"/>
    </row>
    <row r="68" spans="1:14" x14ac:dyDescent="0.3">
      <c r="A68" s="93" t="s">
        <v>175</v>
      </c>
      <c r="B68" s="94" t="s">
        <v>174</v>
      </c>
      <c r="C68" s="441">
        <v>67</v>
      </c>
      <c r="D68" s="95">
        <v>28.319377808352947</v>
      </c>
      <c r="E68" s="410"/>
      <c r="F68" s="88"/>
      <c r="G68" s="88"/>
      <c r="H68" s="88"/>
      <c r="I68" s="88"/>
      <c r="J68" s="88"/>
      <c r="K68" s="88"/>
      <c r="L68" s="88"/>
      <c r="M68" s="88"/>
      <c r="N68" s="88"/>
    </row>
    <row r="69" spans="1:14" x14ac:dyDescent="0.3">
      <c r="A69" s="103" t="s">
        <v>176</v>
      </c>
      <c r="B69" s="104" t="s">
        <v>174</v>
      </c>
      <c r="C69" s="441">
        <v>343</v>
      </c>
      <c r="D69" s="105">
        <v>343</v>
      </c>
      <c r="E69" s="410"/>
      <c r="F69" s="88"/>
      <c r="G69" s="88"/>
      <c r="H69" s="88"/>
      <c r="I69" s="88"/>
      <c r="J69" s="88"/>
      <c r="K69" s="88"/>
      <c r="L69" s="88"/>
      <c r="M69" s="88"/>
      <c r="N69" s="88"/>
    </row>
    <row r="70" spans="1:14" x14ac:dyDescent="0.3">
      <c r="A70" s="413" t="s">
        <v>177</v>
      </c>
      <c r="B70" s="414"/>
      <c r="C70" s="107">
        <v>506.27022741819064</v>
      </c>
      <c r="D70" s="415">
        <v>467.58960522654365</v>
      </c>
      <c r="E70" s="410"/>
      <c r="F70" s="88"/>
      <c r="G70" s="88"/>
      <c r="H70" s="88"/>
      <c r="I70" s="88"/>
      <c r="J70" s="88"/>
      <c r="K70" s="88"/>
      <c r="L70" s="88"/>
      <c r="M70" s="88"/>
      <c r="N70" s="88"/>
    </row>
    <row r="71" spans="1:14" x14ac:dyDescent="0.3">
      <c r="E71" s="410"/>
      <c r="F71" s="88"/>
      <c r="G71" s="88"/>
      <c r="H71" s="88"/>
      <c r="I71" s="88"/>
      <c r="J71" s="88"/>
      <c r="K71" s="88"/>
      <c r="L71" s="88"/>
      <c r="M71" s="88"/>
      <c r="N71" s="88"/>
    </row>
    <row r="72" spans="1:14" ht="25.2" x14ac:dyDescent="0.3">
      <c r="A72" s="435" t="s">
        <v>178</v>
      </c>
      <c r="B72" s="436"/>
      <c r="C72" s="437" t="s">
        <v>296</v>
      </c>
      <c r="D72" s="434" t="s">
        <v>125</v>
      </c>
      <c r="E72" s="410"/>
      <c r="F72" s="88"/>
      <c r="G72" s="88"/>
      <c r="H72" s="88"/>
      <c r="I72" s="88"/>
      <c r="J72" s="88"/>
      <c r="K72" s="88"/>
      <c r="L72" s="88"/>
      <c r="M72" s="88"/>
      <c r="N72" s="88"/>
    </row>
    <row r="73" spans="1:14" x14ac:dyDescent="0.3">
      <c r="A73" s="416" t="s">
        <v>174</v>
      </c>
      <c r="B73" s="417"/>
      <c r="C73" s="417"/>
      <c r="D73" s="418"/>
      <c r="E73" s="410"/>
      <c r="F73" s="88"/>
      <c r="G73" s="88"/>
      <c r="H73" s="88"/>
      <c r="I73" s="88"/>
      <c r="J73" s="88"/>
      <c r="K73" s="88"/>
      <c r="L73" s="88"/>
      <c r="M73" s="88"/>
      <c r="N73" s="88"/>
    </row>
    <row r="74" spans="1:14" x14ac:dyDescent="0.3">
      <c r="A74" s="419" t="s">
        <v>179</v>
      </c>
      <c r="B74" s="123"/>
      <c r="C74" s="123">
        <v>312</v>
      </c>
      <c r="D74" s="96">
        <v>311.98649809839469</v>
      </c>
      <c r="E74" s="410"/>
      <c r="F74" s="88"/>
      <c r="G74" s="88"/>
      <c r="H74" s="88"/>
      <c r="I74" s="88"/>
      <c r="J74" s="88"/>
      <c r="K74" s="88"/>
      <c r="L74" s="88"/>
      <c r="M74" s="88"/>
      <c r="N74" s="88"/>
    </row>
    <row r="75" spans="1:14" x14ac:dyDescent="0.3">
      <c r="A75" s="690" t="s">
        <v>90</v>
      </c>
      <c r="B75" s="690"/>
      <c r="C75" s="420">
        <v>312</v>
      </c>
      <c r="D75" s="420">
        <v>311.98649809839469</v>
      </c>
      <c r="E75" s="410"/>
      <c r="F75" s="88"/>
      <c r="G75" s="88"/>
      <c r="H75" s="88"/>
      <c r="I75" s="88"/>
      <c r="J75" s="88"/>
      <c r="K75" s="88"/>
      <c r="L75" s="88"/>
      <c r="M75" s="88"/>
      <c r="N75" s="88"/>
    </row>
    <row r="76" spans="1:14" x14ac:dyDescent="0.3">
      <c r="A76" s="421" t="s">
        <v>180</v>
      </c>
      <c r="B76" s="123"/>
      <c r="C76" s="123"/>
      <c r="D76" s="96"/>
      <c r="E76" s="410"/>
      <c r="F76" s="88"/>
      <c r="G76" s="88"/>
      <c r="H76" s="88"/>
      <c r="I76" s="88"/>
      <c r="J76" s="88"/>
      <c r="K76" s="88"/>
      <c r="L76" s="88"/>
      <c r="M76" s="88"/>
      <c r="N76" s="88"/>
    </row>
    <row r="77" spans="1:14" x14ac:dyDescent="0.3">
      <c r="A77" s="419" t="s">
        <v>181</v>
      </c>
      <c r="B77" s="123"/>
      <c r="C77" s="123">
        <v>21.9</v>
      </c>
      <c r="D77" s="96">
        <v>21.873636274082617</v>
      </c>
      <c r="E77" s="410"/>
      <c r="F77" s="88"/>
      <c r="G77" s="88"/>
      <c r="H77" s="88"/>
      <c r="I77" s="88"/>
      <c r="J77" s="88"/>
      <c r="K77" s="88"/>
      <c r="L77" s="88"/>
      <c r="M77" s="88"/>
      <c r="N77" s="88"/>
    </row>
    <row r="78" spans="1:14" x14ac:dyDescent="0.3">
      <c r="A78" s="419" t="s">
        <v>182</v>
      </c>
      <c r="B78" s="123"/>
      <c r="C78" s="123">
        <v>1.3</v>
      </c>
      <c r="D78" s="96">
        <v>1.26</v>
      </c>
      <c r="E78" s="410"/>
      <c r="F78" s="88"/>
      <c r="G78" s="88"/>
      <c r="H78" s="88"/>
      <c r="I78" s="88"/>
      <c r="J78" s="88"/>
      <c r="K78" s="88"/>
      <c r="L78" s="88"/>
      <c r="M78" s="88"/>
      <c r="N78" s="88"/>
    </row>
    <row r="79" spans="1:14" x14ac:dyDescent="0.3">
      <c r="A79" s="419" t="s">
        <v>183</v>
      </c>
      <c r="B79" s="123"/>
      <c r="C79" s="123">
        <v>65</v>
      </c>
      <c r="D79" s="96">
        <v>64.97</v>
      </c>
      <c r="E79" s="410"/>
      <c r="F79" s="88"/>
      <c r="G79" s="88"/>
      <c r="H79" s="88"/>
      <c r="I79" s="88"/>
      <c r="J79" s="88"/>
      <c r="K79" s="88"/>
      <c r="L79" s="88"/>
      <c r="M79" s="88"/>
      <c r="N79" s="88"/>
    </row>
    <row r="80" spans="1:14" x14ac:dyDescent="0.3">
      <c r="A80" s="690" t="s">
        <v>91</v>
      </c>
      <c r="B80" s="690"/>
      <c r="C80" s="420">
        <v>88.2</v>
      </c>
      <c r="D80" s="420">
        <v>88.103636274082618</v>
      </c>
      <c r="E80" s="410"/>
      <c r="F80" s="88"/>
      <c r="G80" s="88"/>
      <c r="H80" s="88"/>
      <c r="I80" s="88"/>
      <c r="J80" s="88"/>
      <c r="K80" s="88"/>
      <c r="L80" s="88"/>
      <c r="M80" s="88"/>
      <c r="N80" s="88"/>
    </row>
    <row r="81" spans="1:14" x14ac:dyDescent="0.3">
      <c r="A81" s="422" t="s">
        <v>177</v>
      </c>
      <c r="B81" s="423"/>
      <c r="C81" s="420">
        <v>400.2</v>
      </c>
      <c r="D81" s="420">
        <v>400.09013437247734</v>
      </c>
      <c r="E81" s="410"/>
      <c r="F81" s="88"/>
      <c r="G81" s="88"/>
      <c r="H81" s="88"/>
      <c r="I81" s="88"/>
      <c r="J81" s="88"/>
      <c r="K81" s="88"/>
      <c r="L81" s="88"/>
      <c r="M81" s="88"/>
      <c r="N81" s="88"/>
    </row>
    <row r="82" spans="1:14" x14ac:dyDescent="0.3">
      <c r="A82" s="424"/>
      <c r="B82" s="425"/>
      <c r="C82" s="425"/>
      <c r="D82" s="426"/>
      <c r="E82" s="410"/>
      <c r="F82" s="88"/>
      <c r="G82" s="88"/>
      <c r="H82" s="88"/>
      <c r="I82" s="88"/>
      <c r="J82" s="88"/>
      <c r="K82" s="88"/>
      <c r="L82" s="88"/>
      <c r="M82" s="88"/>
      <c r="N82" s="88"/>
    </row>
    <row r="83" spans="1:14" x14ac:dyDescent="0.3">
      <c r="A83" s="422" t="s">
        <v>184</v>
      </c>
      <c r="B83" s="423"/>
      <c r="C83" s="420">
        <v>906.47022741819069</v>
      </c>
      <c r="D83" s="420">
        <v>867.67973959902099</v>
      </c>
      <c r="E83" s="410"/>
      <c r="F83" s="88"/>
      <c r="G83" s="88"/>
      <c r="H83" s="88"/>
      <c r="I83" s="88"/>
      <c r="J83" s="88"/>
      <c r="K83" s="88"/>
      <c r="L83" s="88"/>
      <c r="M83" s="88"/>
      <c r="N83" s="88"/>
    </row>
    <row r="84" spans="1:14" x14ac:dyDescent="0.3">
      <c r="A84" s="427"/>
      <c r="B84" s="428"/>
      <c r="C84" s="428"/>
      <c r="D84" s="427"/>
      <c r="E84" s="427"/>
      <c r="F84" s="427"/>
      <c r="G84" s="693"/>
      <c r="H84" s="693"/>
    </row>
    <row r="85" spans="1:14" ht="25.2" x14ac:dyDescent="0.3">
      <c r="A85" s="457" t="s">
        <v>308</v>
      </c>
      <c r="B85" s="374"/>
      <c r="C85" s="437" t="s">
        <v>296</v>
      </c>
      <c r="D85" s="434" t="s">
        <v>125</v>
      </c>
      <c r="E85" s="434" t="s">
        <v>126</v>
      </c>
      <c r="F85" s="434" t="s">
        <v>127</v>
      </c>
      <c r="G85" s="434" t="s">
        <v>128</v>
      </c>
      <c r="H85" s="429"/>
    </row>
    <row r="86" spans="1:14" x14ac:dyDescent="0.3">
      <c r="A86" s="419" t="s">
        <v>91</v>
      </c>
      <c r="B86" s="373"/>
      <c r="C86" s="95">
        <v>826.80748219999987</v>
      </c>
      <c r="D86" s="95">
        <v>328.3263438475002</v>
      </c>
      <c r="E86" s="95">
        <v>37920.6</v>
      </c>
      <c r="F86" s="95">
        <v>10995.8</v>
      </c>
      <c r="G86" s="95">
        <v>26924.799999999999</v>
      </c>
      <c r="H86" s="429"/>
    </row>
    <row r="87" spans="1:14" x14ac:dyDescent="0.3">
      <c r="A87" s="419" t="s">
        <v>90</v>
      </c>
      <c r="B87" s="373"/>
      <c r="C87" s="95">
        <v>4606.2787772390602</v>
      </c>
      <c r="D87" s="95">
        <v>3402.2501843297714</v>
      </c>
      <c r="E87" s="95">
        <v>45706.58</v>
      </c>
      <c r="F87" s="95">
        <v>8011.5420000000004</v>
      </c>
      <c r="G87" s="95">
        <v>37695.038</v>
      </c>
      <c r="H87" s="429"/>
    </row>
    <row r="88" spans="1:14" x14ac:dyDescent="0.3">
      <c r="A88" s="419" t="s">
        <v>92</v>
      </c>
      <c r="B88" s="373"/>
      <c r="C88" s="95">
        <v>1.22</v>
      </c>
      <c r="D88" s="95">
        <v>1.22</v>
      </c>
      <c r="E88" s="95">
        <v>2220.37</v>
      </c>
      <c r="F88" s="95">
        <v>873.7</v>
      </c>
      <c r="G88" s="95">
        <v>1346.67</v>
      </c>
      <c r="H88" s="429"/>
    </row>
    <row r="89" spans="1:14" x14ac:dyDescent="0.3">
      <c r="A89" s="422" t="s">
        <v>273</v>
      </c>
      <c r="B89" s="430"/>
      <c r="C89" s="107">
        <v>5434.3062594390603</v>
      </c>
      <c r="D89" s="107">
        <v>3731.7965281772713</v>
      </c>
      <c r="E89" s="107">
        <v>85847.549999999988</v>
      </c>
      <c r="F89" s="107">
        <v>19881.042000000001</v>
      </c>
      <c r="G89" s="107">
        <v>65966.508000000002</v>
      </c>
      <c r="H89" s="431"/>
    </row>
    <row r="90" spans="1:14" x14ac:dyDescent="0.3">
      <c r="A90" s="422" t="s">
        <v>274</v>
      </c>
      <c r="B90" s="430"/>
      <c r="C90" s="107">
        <v>4527.8360320208694</v>
      </c>
      <c r="D90" s="107">
        <v>2864.1167885782502</v>
      </c>
      <c r="E90" s="107">
        <v>85847.549999999988</v>
      </c>
      <c r="F90" s="107">
        <v>19881.042000000001</v>
      </c>
      <c r="G90" s="107">
        <v>65966.508000000002</v>
      </c>
    </row>
    <row r="92" spans="1:14" x14ac:dyDescent="0.3">
      <c r="A92" s="86" t="s">
        <v>185</v>
      </c>
      <c r="B92" s="372"/>
      <c r="C92" s="372"/>
      <c r="D92" s="87"/>
      <c r="E92" s="87"/>
      <c r="F92" s="87"/>
      <c r="G92" s="87"/>
      <c r="H92" s="87"/>
      <c r="I92" s="18"/>
      <c r="J92" s="18"/>
      <c r="K92" s="18"/>
      <c r="L92" s="18"/>
      <c r="M92" s="18"/>
      <c r="N92" s="18"/>
    </row>
    <row r="93" spans="1:14" x14ac:dyDescent="0.3">
      <c r="A93" s="125"/>
      <c r="B93" s="375"/>
      <c r="C93" s="375"/>
      <c r="D93" s="125"/>
      <c r="E93" s="125"/>
      <c r="F93" s="125"/>
      <c r="G93" s="125"/>
      <c r="H93" s="125"/>
    </row>
    <row r="94" spans="1:14" ht="25.2" x14ac:dyDescent="0.3">
      <c r="A94" s="89" t="s">
        <v>123</v>
      </c>
      <c r="B94" s="90" t="s">
        <v>124</v>
      </c>
      <c r="C94" s="437" t="s">
        <v>296</v>
      </c>
      <c r="D94" s="91" t="s">
        <v>125</v>
      </c>
      <c r="E94" s="92" t="s">
        <v>126</v>
      </c>
      <c r="F94" s="91" t="s">
        <v>127</v>
      </c>
      <c r="G94" s="91" t="s">
        <v>186</v>
      </c>
      <c r="H94" s="90" t="s">
        <v>129</v>
      </c>
    </row>
    <row r="95" spans="1:14" x14ac:dyDescent="0.3">
      <c r="A95" s="93" t="s">
        <v>187</v>
      </c>
      <c r="B95" s="94" t="s">
        <v>131</v>
      </c>
      <c r="C95" s="98">
        <v>43.1</v>
      </c>
      <c r="D95" s="98">
        <v>23.79</v>
      </c>
      <c r="E95" s="96">
        <v>2200</v>
      </c>
      <c r="F95" s="99">
        <v>103</v>
      </c>
      <c r="G95" s="96">
        <v>2097</v>
      </c>
      <c r="H95" s="97">
        <v>0.49</v>
      </c>
    </row>
    <row r="96" spans="1:14" x14ac:dyDescent="0.3">
      <c r="A96" s="93" t="s">
        <v>188</v>
      </c>
      <c r="B96" s="94" t="s">
        <v>131</v>
      </c>
      <c r="C96" s="98">
        <v>228.1</v>
      </c>
      <c r="D96" s="98">
        <v>243.2</v>
      </c>
      <c r="E96" s="96">
        <v>7084</v>
      </c>
      <c r="F96" s="99">
        <v>5635.6</v>
      </c>
      <c r="G96" s="96">
        <v>1448.3999999999996</v>
      </c>
      <c r="H96" s="97">
        <v>0.5</v>
      </c>
    </row>
    <row r="97" spans="1:10" x14ac:dyDescent="0.3">
      <c r="A97" s="93" t="s">
        <v>189</v>
      </c>
      <c r="B97" s="94" t="s">
        <v>173</v>
      </c>
      <c r="C97" s="98">
        <v>2.2000000000000002</v>
      </c>
      <c r="D97" s="98">
        <v>0</v>
      </c>
      <c r="E97" s="96">
        <v>220</v>
      </c>
      <c r="F97" s="99">
        <v>220</v>
      </c>
      <c r="G97" s="96">
        <v>0</v>
      </c>
      <c r="H97" s="97">
        <v>0.5</v>
      </c>
    </row>
    <row r="98" spans="1:10" x14ac:dyDescent="0.3">
      <c r="A98" s="93" t="s">
        <v>190</v>
      </c>
      <c r="B98" s="94" t="s">
        <v>173</v>
      </c>
      <c r="C98" s="98">
        <v>111</v>
      </c>
      <c r="D98" s="98">
        <v>90.275000000000006</v>
      </c>
      <c r="E98" s="99">
        <v>3300</v>
      </c>
      <c r="F98" s="99">
        <v>407.3</v>
      </c>
      <c r="G98" s="96">
        <v>2892.7</v>
      </c>
      <c r="H98" s="97">
        <v>0.4</v>
      </c>
    </row>
    <row r="99" spans="1:10" x14ac:dyDescent="0.3">
      <c r="A99" s="93" t="s">
        <v>191</v>
      </c>
      <c r="B99" s="94" t="s">
        <v>345</v>
      </c>
      <c r="C99" s="98">
        <v>371</v>
      </c>
      <c r="D99" s="98">
        <v>1.999999999981128E-3</v>
      </c>
      <c r="E99" s="99">
        <v>2500</v>
      </c>
      <c r="F99" s="99">
        <v>851</v>
      </c>
      <c r="G99" s="96">
        <v>1649</v>
      </c>
      <c r="H99" s="97">
        <v>0.4</v>
      </c>
    </row>
    <row r="100" spans="1:10" x14ac:dyDescent="0.3">
      <c r="A100" s="93" t="s">
        <v>192</v>
      </c>
      <c r="B100" s="94" t="s">
        <v>193</v>
      </c>
      <c r="C100" s="95">
        <v>110</v>
      </c>
      <c r="D100" s="95">
        <v>198.7</v>
      </c>
      <c r="E100" s="95">
        <v>1905</v>
      </c>
      <c r="F100" s="99">
        <v>52.6</v>
      </c>
      <c r="G100" s="96">
        <v>1852.4</v>
      </c>
      <c r="H100" s="122">
        <v>0.51</v>
      </c>
    </row>
    <row r="101" spans="1:10" x14ac:dyDescent="0.3">
      <c r="A101" s="691" t="s">
        <v>90</v>
      </c>
      <c r="B101" s="692"/>
      <c r="C101" s="107">
        <v>865.4</v>
      </c>
      <c r="D101" s="107">
        <v>555.96699999999987</v>
      </c>
      <c r="E101" s="107">
        <v>17209</v>
      </c>
      <c r="F101" s="107">
        <v>7269.5000000000009</v>
      </c>
      <c r="G101" s="107">
        <v>9939.5</v>
      </c>
      <c r="H101" s="108"/>
    </row>
    <row r="102" spans="1:10" x14ac:dyDescent="0.3">
      <c r="A102" s="109"/>
      <c r="B102" s="374"/>
      <c r="C102" s="374"/>
      <c r="D102" s="110"/>
      <c r="E102" s="110"/>
      <c r="F102" s="110"/>
      <c r="G102" s="110"/>
      <c r="H102" s="111"/>
    </row>
    <row r="103" spans="1:10" x14ac:dyDescent="0.3">
      <c r="A103" s="93" t="s">
        <v>194</v>
      </c>
      <c r="B103" s="94" t="s">
        <v>143</v>
      </c>
      <c r="C103" s="98">
        <v>20.95</v>
      </c>
      <c r="D103" s="98">
        <v>7.52</v>
      </c>
      <c r="E103" s="98">
        <v>2008.0096960000001</v>
      </c>
      <c r="F103" s="126">
        <v>990.2</v>
      </c>
      <c r="G103" s="96">
        <v>1017.809696</v>
      </c>
      <c r="H103" s="97">
        <v>0.5</v>
      </c>
    </row>
    <row r="104" spans="1:10" x14ac:dyDescent="0.3">
      <c r="A104" s="93" t="s">
        <v>195</v>
      </c>
      <c r="B104" s="94" t="s">
        <v>196</v>
      </c>
      <c r="C104" s="127">
        <v>488</v>
      </c>
      <c r="D104" s="127">
        <v>178</v>
      </c>
      <c r="E104" s="127">
        <v>2017</v>
      </c>
      <c r="F104" s="99">
        <v>931.6</v>
      </c>
      <c r="G104" s="96">
        <v>1085.4000000000001</v>
      </c>
      <c r="H104" s="97">
        <v>0.5</v>
      </c>
    </row>
    <row r="105" spans="1:10" x14ac:dyDescent="0.3">
      <c r="A105" s="690" t="s">
        <v>91</v>
      </c>
      <c r="B105" s="690"/>
      <c r="C105" s="107">
        <v>508.95</v>
      </c>
      <c r="D105" s="107">
        <v>185.52</v>
      </c>
      <c r="E105" s="107">
        <v>4025.0096960000001</v>
      </c>
      <c r="F105" s="107">
        <v>1921.8000000000002</v>
      </c>
      <c r="G105" s="107">
        <v>2103.2096959999999</v>
      </c>
      <c r="H105" s="112"/>
    </row>
    <row r="106" spans="1:10" x14ac:dyDescent="0.3">
      <c r="A106" s="109"/>
      <c r="B106" s="374"/>
      <c r="C106" s="374"/>
      <c r="D106" s="110"/>
      <c r="E106" s="110"/>
      <c r="F106" s="110"/>
      <c r="G106" s="110"/>
      <c r="H106" s="111"/>
    </row>
    <row r="107" spans="1:10" x14ac:dyDescent="0.3">
      <c r="A107" s="115" t="s">
        <v>157</v>
      </c>
      <c r="B107" s="108"/>
      <c r="C107" s="108"/>
      <c r="D107" s="107">
        <v>741.48699999999985</v>
      </c>
      <c r="E107" s="107">
        <v>21234.009696000001</v>
      </c>
      <c r="F107" s="107">
        <v>9191.3000000000011</v>
      </c>
      <c r="G107" s="107">
        <v>12042.709696</v>
      </c>
      <c r="H107" s="112"/>
    </row>
    <row r="108" spans="1:10" x14ac:dyDescent="0.3">
      <c r="A108" s="128"/>
      <c r="B108" s="376"/>
      <c r="C108" s="376"/>
      <c r="D108" s="128"/>
      <c r="E108" s="128"/>
      <c r="F108" s="128"/>
      <c r="G108" s="128"/>
      <c r="H108" s="128"/>
    </row>
    <row r="109" spans="1:10" ht="25.2" x14ac:dyDescent="0.3">
      <c r="A109" s="129" t="s">
        <v>158</v>
      </c>
      <c r="B109" s="130" t="s">
        <v>124</v>
      </c>
      <c r="C109" s="437" t="s">
        <v>296</v>
      </c>
      <c r="D109" s="131" t="s">
        <v>159</v>
      </c>
      <c r="E109" s="131" t="s">
        <v>126</v>
      </c>
      <c r="F109" s="91" t="s">
        <v>127</v>
      </c>
      <c r="G109" s="91" t="s">
        <v>128</v>
      </c>
      <c r="H109" s="132" t="s">
        <v>129</v>
      </c>
    </row>
    <row r="110" spans="1:10" x14ac:dyDescent="0.3">
      <c r="A110" s="93" t="s">
        <v>197</v>
      </c>
      <c r="B110" s="94" t="s">
        <v>173</v>
      </c>
      <c r="C110" s="95">
        <v>204.01817690799999</v>
      </c>
      <c r="D110" s="95">
        <v>204.01817690799999</v>
      </c>
      <c r="E110" s="95">
        <v>2827.4</v>
      </c>
      <c r="F110" s="96">
        <v>0</v>
      </c>
      <c r="G110" s="96">
        <v>2827.4</v>
      </c>
      <c r="H110" s="122">
        <v>0.8</v>
      </c>
      <c r="J110" s="431"/>
    </row>
    <row r="111" spans="1:10" x14ac:dyDescent="0.3">
      <c r="A111" s="93" t="s">
        <v>198</v>
      </c>
      <c r="B111" s="94" t="s">
        <v>173</v>
      </c>
      <c r="C111" s="95">
        <v>6.7</v>
      </c>
      <c r="D111" s="95">
        <v>6.7</v>
      </c>
      <c r="E111" s="95">
        <v>1320.2</v>
      </c>
      <c r="F111" s="96">
        <v>0</v>
      </c>
      <c r="G111" s="96">
        <v>1320.2</v>
      </c>
      <c r="H111" s="122">
        <v>0.5</v>
      </c>
      <c r="J111" s="431"/>
    </row>
    <row r="112" spans="1:10" x14ac:dyDescent="0.3">
      <c r="A112" s="93" t="s">
        <v>199</v>
      </c>
      <c r="B112" s="94" t="s">
        <v>345</v>
      </c>
      <c r="C112" s="95">
        <v>500.50700000000001</v>
      </c>
      <c r="D112" s="95">
        <v>500.50700000000001</v>
      </c>
      <c r="E112" s="95">
        <v>5000</v>
      </c>
      <c r="F112" s="96">
        <v>0</v>
      </c>
      <c r="G112" s="96">
        <v>5000</v>
      </c>
      <c r="H112" s="122">
        <v>0.6</v>
      </c>
    </row>
    <row r="113" spans="1:8" x14ac:dyDescent="0.3">
      <c r="A113" s="93" t="s">
        <v>200</v>
      </c>
      <c r="B113" s="94" t="s">
        <v>345</v>
      </c>
      <c r="C113" s="95">
        <v>300.02</v>
      </c>
      <c r="D113" s="95">
        <v>300.02</v>
      </c>
      <c r="E113" s="95">
        <v>3700</v>
      </c>
      <c r="F113" s="96">
        <v>0</v>
      </c>
      <c r="G113" s="96">
        <v>3700</v>
      </c>
      <c r="H113" s="122">
        <v>0.3</v>
      </c>
    </row>
    <row r="114" spans="1:8" x14ac:dyDescent="0.3">
      <c r="A114" s="93" t="s">
        <v>201</v>
      </c>
      <c r="B114" s="94" t="s">
        <v>346</v>
      </c>
      <c r="C114" s="95">
        <v>2500.0120000000002</v>
      </c>
      <c r="D114" s="95">
        <v>2500.0120000000002</v>
      </c>
      <c r="E114" s="95">
        <v>15000</v>
      </c>
      <c r="F114" s="96">
        <v>0</v>
      </c>
      <c r="G114" s="96">
        <v>15000</v>
      </c>
      <c r="H114" s="122">
        <v>0.4</v>
      </c>
    </row>
    <row r="115" spans="1:8" x14ac:dyDescent="0.3">
      <c r="A115" s="690" t="s">
        <v>90</v>
      </c>
      <c r="B115" s="690"/>
      <c r="C115" s="107">
        <v>3511.257176908</v>
      </c>
      <c r="D115" s="107">
        <v>3511.257176908</v>
      </c>
      <c r="E115" s="107">
        <v>27847.599999999999</v>
      </c>
      <c r="F115" s="107">
        <v>0</v>
      </c>
      <c r="G115" s="107">
        <v>27847.599999999999</v>
      </c>
      <c r="H115" s="112"/>
    </row>
    <row r="116" spans="1:8" x14ac:dyDescent="0.3">
      <c r="A116" s="109"/>
      <c r="B116" s="374"/>
      <c r="C116" s="374"/>
      <c r="D116" s="110"/>
      <c r="E116" s="110"/>
      <c r="F116" s="110"/>
      <c r="G116" s="110"/>
      <c r="H116" s="111"/>
    </row>
    <row r="117" spans="1:8" x14ac:dyDescent="0.3">
      <c r="A117" s="93" t="s">
        <v>202</v>
      </c>
      <c r="B117" s="94"/>
      <c r="C117" s="95">
        <v>0</v>
      </c>
      <c r="D117" s="95">
        <v>0</v>
      </c>
      <c r="E117" s="95">
        <v>0</v>
      </c>
      <c r="F117" s="95">
        <v>0</v>
      </c>
      <c r="G117" s="95">
        <v>0</v>
      </c>
      <c r="H117" s="122">
        <v>0</v>
      </c>
    </row>
    <row r="118" spans="1:8" x14ac:dyDescent="0.3">
      <c r="A118" s="690" t="s">
        <v>91</v>
      </c>
      <c r="B118" s="690"/>
      <c r="C118" s="107">
        <v>0</v>
      </c>
      <c r="D118" s="107">
        <v>0</v>
      </c>
      <c r="E118" s="107">
        <v>0</v>
      </c>
      <c r="F118" s="107">
        <v>0</v>
      </c>
      <c r="G118" s="107">
        <v>0</v>
      </c>
      <c r="H118" s="112"/>
    </row>
    <row r="119" spans="1:8" x14ac:dyDescent="0.3">
      <c r="A119" s="109"/>
      <c r="B119" s="374"/>
      <c r="C119" s="374"/>
      <c r="D119" s="110"/>
      <c r="E119" s="110"/>
      <c r="F119" s="110"/>
      <c r="G119" s="110"/>
      <c r="H119" s="111"/>
    </row>
    <row r="120" spans="1:8" x14ac:dyDescent="0.3">
      <c r="A120" s="93" t="s">
        <v>203</v>
      </c>
      <c r="B120" s="123" t="s">
        <v>204</v>
      </c>
      <c r="C120" s="96">
        <v>0</v>
      </c>
      <c r="D120" s="96">
        <v>0</v>
      </c>
      <c r="E120" s="95">
        <v>0</v>
      </c>
      <c r="F120" s="95">
        <v>0</v>
      </c>
      <c r="G120" s="95">
        <v>0</v>
      </c>
      <c r="H120" s="133">
        <v>0.4</v>
      </c>
    </row>
    <row r="121" spans="1:8" x14ac:dyDescent="0.3">
      <c r="A121" s="690" t="s">
        <v>92</v>
      </c>
      <c r="B121" s="690"/>
      <c r="C121" s="107">
        <v>0</v>
      </c>
      <c r="D121" s="107">
        <v>0</v>
      </c>
      <c r="E121" s="107">
        <v>0</v>
      </c>
      <c r="F121" s="107">
        <v>0</v>
      </c>
      <c r="G121" s="107">
        <v>0</v>
      </c>
      <c r="H121" s="133">
        <v>0.4</v>
      </c>
    </row>
    <row r="122" spans="1:8" x14ac:dyDescent="0.3">
      <c r="A122" s="109"/>
      <c r="B122" s="374"/>
      <c r="C122" s="374"/>
      <c r="D122" s="110"/>
      <c r="E122" s="110"/>
      <c r="F122" s="110"/>
      <c r="G122" s="110"/>
      <c r="H122" s="111"/>
    </row>
    <row r="123" spans="1:8" x14ac:dyDescent="0.3">
      <c r="A123" s="115" t="s">
        <v>170</v>
      </c>
      <c r="B123" s="108"/>
      <c r="C123" s="108"/>
      <c r="D123" s="107">
        <v>3511.257176908</v>
      </c>
      <c r="E123" s="107">
        <v>27847.599999999999</v>
      </c>
      <c r="F123" s="107">
        <v>0</v>
      </c>
      <c r="G123" s="107">
        <v>27847.599999999999</v>
      </c>
      <c r="H123" s="112"/>
    </row>
    <row r="124" spans="1:8" x14ac:dyDescent="0.3">
      <c r="A124" s="134"/>
      <c r="B124" s="375"/>
      <c r="C124" s="375"/>
      <c r="D124" s="125"/>
      <c r="E124" s="125"/>
      <c r="F124" s="125"/>
      <c r="G124" s="128"/>
      <c r="H124" s="88"/>
    </row>
    <row r="125" spans="1:8" x14ac:dyDescent="0.3">
      <c r="A125" s="128"/>
      <c r="B125" s="376"/>
      <c r="C125" s="376"/>
      <c r="D125" s="128"/>
      <c r="E125" s="128"/>
      <c r="F125" s="128"/>
      <c r="G125" s="128"/>
      <c r="H125" s="88"/>
    </row>
    <row r="126" spans="1:8" ht="25.2" x14ac:dyDescent="0.3">
      <c r="A126" s="457" t="s">
        <v>309</v>
      </c>
      <c r="B126" s="374"/>
      <c r="C126" s="437" t="s">
        <v>296</v>
      </c>
      <c r="D126" s="434" t="s">
        <v>125</v>
      </c>
      <c r="E126" s="434" t="s">
        <v>126</v>
      </c>
      <c r="F126" s="434" t="s">
        <v>127</v>
      </c>
      <c r="G126" s="434" t="s">
        <v>128</v>
      </c>
      <c r="H126" s="88"/>
    </row>
    <row r="127" spans="1:8" x14ac:dyDescent="0.3">
      <c r="A127" s="419" t="s">
        <v>91</v>
      </c>
      <c r="B127" s="373"/>
      <c r="C127" s="95">
        <v>508.95</v>
      </c>
      <c r="D127" s="95">
        <v>185.52</v>
      </c>
      <c r="E127" s="95">
        <v>4025.0096960000001</v>
      </c>
      <c r="F127" s="95">
        <v>1921.8000000000002</v>
      </c>
      <c r="G127" s="95">
        <v>2103.2096959999999</v>
      </c>
      <c r="H127" s="88"/>
    </row>
    <row r="128" spans="1:8" x14ac:dyDescent="0.3">
      <c r="A128" s="419" t="s">
        <v>90</v>
      </c>
      <c r="B128" s="373"/>
      <c r="C128" s="95">
        <v>4376.6571769080001</v>
      </c>
      <c r="D128" s="95">
        <v>4067.2241769080001</v>
      </c>
      <c r="E128" s="95">
        <v>37787.1</v>
      </c>
      <c r="F128" s="95">
        <v>7269.5000000000009</v>
      </c>
      <c r="G128" s="95">
        <v>37787.1</v>
      </c>
      <c r="H128" s="88"/>
    </row>
    <row r="129" spans="1:14" x14ac:dyDescent="0.3">
      <c r="A129" s="419" t="s">
        <v>92</v>
      </c>
      <c r="B129" s="373"/>
      <c r="C129" s="95">
        <v>0</v>
      </c>
      <c r="D129" s="95">
        <v>0</v>
      </c>
      <c r="E129" s="95">
        <v>0</v>
      </c>
      <c r="F129" s="95">
        <v>0</v>
      </c>
      <c r="G129" s="95">
        <v>0</v>
      </c>
      <c r="H129" s="88"/>
    </row>
    <row r="130" spans="1:14" x14ac:dyDescent="0.3">
      <c r="A130" s="422" t="s">
        <v>205</v>
      </c>
      <c r="B130" s="430"/>
      <c r="C130" s="107">
        <v>4885.6071769079999</v>
      </c>
      <c r="D130" s="107">
        <v>4252.7441769080006</v>
      </c>
      <c r="E130" s="107">
        <v>41812.109696</v>
      </c>
      <c r="F130" s="107">
        <v>9191.3000000000011</v>
      </c>
      <c r="G130" s="107">
        <v>39890.309695999997</v>
      </c>
      <c r="H130" s="88"/>
    </row>
    <row r="131" spans="1:14" x14ac:dyDescent="0.3">
      <c r="A131" s="88"/>
      <c r="B131" s="373"/>
      <c r="D131" s="88"/>
      <c r="E131" s="88"/>
      <c r="F131" s="88"/>
      <c r="G131" s="88"/>
      <c r="I131" s="88"/>
      <c r="J131" s="88"/>
      <c r="K131" s="88"/>
      <c r="L131" s="88"/>
      <c r="M131" s="88"/>
      <c r="N131" s="88"/>
    </row>
    <row r="132" spans="1:14" x14ac:dyDescent="0.3">
      <c r="A132" s="135" t="s">
        <v>206</v>
      </c>
      <c r="B132" s="373"/>
      <c r="C132" s="373"/>
      <c r="D132" s="88"/>
      <c r="E132" s="88"/>
      <c r="F132" s="88"/>
      <c r="G132" s="88"/>
      <c r="I132" s="88"/>
      <c r="J132" s="88"/>
      <c r="K132" s="88"/>
      <c r="L132" s="88"/>
      <c r="M132" s="88"/>
      <c r="N132" s="88"/>
    </row>
    <row r="133" spans="1:14" ht="25.2" x14ac:dyDescent="0.3">
      <c r="A133" s="88"/>
      <c r="C133" s="437" t="s">
        <v>296</v>
      </c>
      <c r="D133" s="434" t="s">
        <v>125</v>
      </c>
      <c r="E133" s="434" t="s">
        <v>126</v>
      </c>
      <c r="F133" s="434" t="s">
        <v>306</v>
      </c>
      <c r="G133" s="88"/>
      <c r="I133" s="88"/>
      <c r="J133" s="88"/>
      <c r="K133" s="88"/>
      <c r="L133" s="88"/>
      <c r="M133" s="88"/>
      <c r="N133" s="88"/>
    </row>
    <row r="134" spans="1:14" x14ac:dyDescent="0.3">
      <c r="A134" s="88" t="s">
        <v>207</v>
      </c>
      <c r="C134" s="448">
        <v>4527.8360320208694</v>
      </c>
      <c r="D134" s="448">
        <v>2864.1167885782502</v>
      </c>
      <c r="E134" s="136">
        <v>85847.549999999988</v>
      </c>
      <c r="F134" s="451">
        <v>65966.508000000002</v>
      </c>
      <c r="G134" s="88"/>
      <c r="I134" s="88"/>
      <c r="J134" s="88"/>
      <c r="K134" s="88"/>
      <c r="L134" s="88"/>
      <c r="M134" s="88"/>
      <c r="N134" s="88"/>
    </row>
    <row r="135" spans="1:14" x14ac:dyDescent="0.3">
      <c r="A135" s="88" t="s">
        <v>275</v>
      </c>
      <c r="C135" s="449">
        <v>906.47022741819069</v>
      </c>
      <c r="D135" s="449">
        <v>867.67973959902099</v>
      </c>
      <c r="E135" s="136">
        <v>0</v>
      </c>
      <c r="F135" s="452">
        <v>0</v>
      </c>
      <c r="G135" s="88"/>
      <c r="I135" s="88"/>
      <c r="J135" s="88"/>
      <c r="K135" s="88"/>
      <c r="L135" s="88"/>
      <c r="M135" s="88"/>
      <c r="N135" s="88"/>
    </row>
    <row r="136" spans="1:14" x14ac:dyDescent="0.3">
      <c r="A136" s="88" t="s">
        <v>208</v>
      </c>
      <c r="C136" s="455">
        <v>4885.6071769079999</v>
      </c>
      <c r="D136" s="455">
        <v>4252.7441769080006</v>
      </c>
      <c r="E136" s="379">
        <v>41812.109696</v>
      </c>
      <c r="F136" s="453">
        <v>39890.309695999997</v>
      </c>
      <c r="G136" s="88"/>
      <c r="I136" s="88"/>
      <c r="J136" s="88"/>
      <c r="K136" s="88"/>
      <c r="L136" s="88"/>
      <c r="M136" s="88"/>
      <c r="N136" s="88"/>
    </row>
    <row r="137" spans="1:14" x14ac:dyDescent="0.3">
      <c r="A137" s="137" t="s">
        <v>177</v>
      </c>
      <c r="C137" s="456">
        <v>10319.91343634706</v>
      </c>
      <c r="D137" s="456">
        <v>7984.5407050852718</v>
      </c>
      <c r="E137" s="138">
        <v>127659.65969599999</v>
      </c>
      <c r="F137" s="454">
        <v>105856.817696</v>
      </c>
      <c r="G137" s="88"/>
      <c r="I137" s="88"/>
      <c r="J137" s="88"/>
      <c r="K137" s="88"/>
      <c r="L137" s="88"/>
      <c r="M137" s="88"/>
      <c r="N137" s="88"/>
    </row>
    <row r="138" spans="1:14" x14ac:dyDescent="0.3">
      <c r="A138" s="88"/>
      <c r="B138" s="373"/>
      <c r="C138" s="373"/>
      <c r="D138" s="88"/>
      <c r="E138" s="88"/>
      <c r="F138" s="88"/>
      <c r="G138" s="88"/>
      <c r="I138" s="88"/>
      <c r="J138" s="88"/>
      <c r="K138" s="88"/>
      <c r="L138" s="88"/>
      <c r="M138" s="88"/>
      <c r="N138" s="88"/>
    </row>
    <row r="139" spans="1:14" x14ac:dyDescent="0.3">
      <c r="A139" s="135" t="s">
        <v>209</v>
      </c>
      <c r="B139" s="373"/>
      <c r="C139" s="373"/>
      <c r="D139" s="88"/>
      <c r="E139" s="88"/>
      <c r="F139" s="88"/>
      <c r="G139" s="88"/>
      <c r="I139" s="88"/>
      <c r="J139" s="88"/>
      <c r="K139" s="88"/>
      <c r="L139" s="88"/>
      <c r="M139" s="88"/>
      <c r="N139" s="88"/>
    </row>
    <row r="140" spans="1:14" ht="25.2" x14ac:dyDescent="0.3">
      <c r="A140" s="88"/>
      <c r="C140" s="437" t="s">
        <v>296</v>
      </c>
      <c r="D140" s="437" t="s">
        <v>125</v>
      </c>
      <c r="E140" s="437" t="s">
        <v>307</v>
      </c>
      <c r="F140" s="437" t="s">
        <v>210</v>
      </c>
      <c r="G140" s="437" t="s">
        <v>211</v>
      </c>
      <c r="I140" s="139"/>
      <c r="J140" s="139"/>
      <c r="K140" s="139"/>
      <c r="L140" s="139"/>
      <c r="M140" s="139"/>
      <c r="N140" s="139"/>
    </row>
    <row r="141" spans="1:14" x14ac:dyDescent="0.3">
      <c r="A141" s="88" t="s">
        <v>91</v>
      </c>
      <c r="C141" s="448">
        <v>1335.7574821999999</v>
      </c>
      <c r="D141" s="377">
        <v>513.84634384750018</v>
      </c>
      <c r="E141" s="445">
        <v>29028.009696000001</v>
      </c>
      <c r="F141" s="140">
        <v>6.4355153643369453E-2</v>
      </c>
      <c r="G141" s="442">
        <v>0.27421955739650844</v>
      </c>
      <c r="I141" s="140"/>
      <c r="J141" s="140"/>
      <c r="K141" s="140"/>
      <c r="L141" s="140"/>
      <c r="M141" s="140"/>
      <c r="N141" s="140"/>
    </row>
    <row r="142" spans="1:14" x14ac:dyDescent="0.3">
      <c r="A142" s="88" t="s">
        <v>90</v>
      </c>
      <c r="C142" s="449">
        <v>8982.9359541470603</v>
      </c>
      <c r="D142" s="377">
        <v>7469.4743612377715</v>
      </c>
      <c r="E142" s="446">
        <v>75482.138000000006</v>
      </c>
      <c r="F142" s="140">
        <v>0.93549205109325073</v>
      </c>
      <c r="G142" s="443">
        <v>0.71305882457915837</v>
      </c>
      <c r="I142" s="140"/>
      <c r="J142" s="140"/>
      <c r="K142" s="140"/>
      <c r="L142" s="140"/>
      <c r="M142" s="140"/>
      <c r="N142" s="140"/>
    </row>
    <row r="143" spans="1:14" x14ac:dyDescent="0.3">
      <c r="A143" s="88" t="s">
        <v>92</v>
      </c>
      <c r="C143" s="449">
        <v>1.22</v>
      </c>
      <c r="D143" s="377">
        <v>1.22</v>
      </c>
      <c r="E143" s="446">
        <v>1346.67</v>
      </c>
      <c r="F143" s="140">
        <v>1.5279526337977017E-4</v>
      </c>
      <c r="G143" s="443">
        <v>1.2721618024333321E-2</v>
      </c>
      <c r="I143" s="140"/>
      <c r="J143" s="140"/>
      <c r="K143" s="140"/>
      <c r="L143" s="140"/>
      <c r="M143" s="140"/>
      <c r="N143" s="140"/>
    </row>
    <row r="144" spans="1:14" x14ac:dyDescent="0.3">
      <c r="A144" s="137" t="s">
        <v>177</v>
      </c>
      <c r="C144" s="450">
        <v>10319.91343634706</v>
      </c>
      <c r="D144" s="378">
        <v>7984.5407050852718</v>
      </c>
      <c r="E144" s="447">
        <v>105856.817696</v>
      </c>
      <c r="F144" s="141">
        <v>0.99999999999999989</v>
      </c>
      <c r="G144" s="444">
        <v>1</v>
      </c>
      <c r="I144" s="140"/>
      <c r="J144" s="140"/>
      <c r="K144" s="140"/>
      <c r="L144" s="140"/>
      <c r="M144" s="140"/>
      <c r="N144" s="140"/>
    </row>
    <row r="145" spans="3:14" x14ac:dyDescent="0.3">
      <c r="I145" s="140"/>
      <c r="J145" s="140"/>
      <c r="K145" s="140"/>
      <c r="L145" s="140"/>
      <c r="M145" s="140"/>
      <c r="N145" s="140"/>
    </row>
    <row r="146" spans="3:14" ht="25.2" x14ac:dyDescent="0.3">
      <c r="D146" s="460" t="s">
        <v>125</v>
      </c>
      <c r="E146" s="460" t="s">
        <v>126</v>
      </c>
      <c r="F146" s="459"/>
      <c r="I146" s="140"/>
      <c r="J146" s="140"/>
      <c r="K146" s="140"/>
      <c r="L146" s="140"/>
      <c r="M146" s="140"/>
      <c r="N146" s="140"/>
    </row>
    <row r="147" spans="3:14" x14ac:dyDescent="0.3">
      <c r="C147" s="227" t="s">
        <v>348</v>
      </c>
      <c r="D147" s="462">
        <v>3402.2501843297714</v>
      </c>
      <c r="E147" s="462">
        <v>37695.038000000008</v>
      </c>
      <c r="I147" s="140"/>
      <c r="J147" s="140"/>
      <c r="K147" s="140"/>
      <c r="L147" s="140"/>
      <c r="M147" s="140"/>
      <c r="N147" s="140"/>
    </row>
    <row r="148" spans="3:14" x14ac:dyDescent="0.3">
      <c r="C148" s="227" t="s">
        <v>349</v>
      </c>
      <c r="D148" s="462">
        <v>4067.2241769080001</v>
      </c>
      <c r="E148" s="462">
        <v>37787.1</v>
      </c>
    </row>
    <row r="149" spans="3:14" x14ac:dyDescent="0.3">
      <c r="C149" s="461" t="s">
        <v>350</v>
      </c>
      <c r="D149" s="463">
        <v>7469.4743612377715</v>
      </c>
      <c r="E149" s="463">
        <v>75482.138000000006</v>
      </c>
    </row>
  </sheetData>
  <mergeCells count="25">
    <mergeCell ref="E3:E4"/>
    <mergeCell ref="D3:D4"/>
    <mergeCell ref="C3:C4"/>
    <mergeCell ref="B3:B4"/>
    <mergeCell ref="A3:A4"/>
    <mergeCell ref="I3:L3"/>
    <mergeCell ref="N3:N4"/>
    <mergeCell ref="H3:H4"/>
    <mergeCell ref="G3:G4"/>
    <mergeCell ref="F3:F4"/>
    <mergeCell ref="M3:M4"/>
    <mergeCell ref="G84:H84"/>
    <mergeCell ref="A101:B101"/>
    <mergeCell ref="A105:B105"/>
    <mergeCell ref="A115:B115"/>
    <mergeCell ref="A118:B118"/>
    <mergeCell ref="A121:B121"/>
    <mergeCell ref="A22:B22"/>
    <mergeCell ref="A38:B38"/>
    <mergeCell ref="A41:B41"/>
    <mergeCell ref="A47:B47"/>
    <mergeCell ref="A55:B55"/>
    <mergeCell ref="A58:B58"/>
    <mergeCell ref="A75:B75"/>
    <mergeCell ref="A80:B8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C47D9A846D4789CB56C87B51C79D" ma:contentTypeVersion="20" ma:contentTypeDescription="Create a new document." ma:contentTypeScope="" ma:versionID="c71bc08c80b217fe25f7c760a35ce268">
  <xsd:schema xmlns:xsd="http://www.w3.org/2001/XMLSchema" xmlns:xs="http://www.w3.org/2001/XMLSchema" xmlns:p="http://schemas.microsoft.com/office/2006/metadata/properties" xmlns:ns2="62acaf92-07af-45b4-83ba-27001d091bc8" xmlns:ns3="7fd21147-7a3e-446c-852f-28e3a1d96af8" targetNamespace="http://schemas.microsoft.com/office/2006/metadata/properties" ma:root="true" ma:fieldsID="11dc8cf360ac56a4348f5ad095dafa71" ns2:_="" ns3:_="">
    <xsd:import namespace="62acaf92-07af-45b4-83ba-27001d091bc8"/>
    <xsd:import namespace="7fd21147-7a3e-446c-852f-28e3a1d96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acaf92-07af-45b4-83ba-27001d091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168cff8-111a-4546-a140-cb87327a6b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21147-7a3e-446c-852f-28e3a1d96af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538f43-c605-442e-baf7-719140127357}" ma:internalName="TaxCatchAll" ma:showField="CatchAllData" ma:web="7fd21147-7a3e-446c-852f-28e3a1d96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acaf92-07af-45b4-83ba-27001d091bc8">
      <Terms xmlns="http://schemas.microsoft.com/office/infopath/2007/PartnerControls"/>
    </lcf76f155ced4ddcb4097134ff3c332f>
    <TaxCatchAll xmlns="7fd21147-7a3e-446c-852f-28e3a1d96af8" xsi:nil="true"/>
  </documentManagement>
</p:properties>
</file>

<file path=customXml/itemProps1.xml><?xml version="1.0" encoding="utf-8"?>
<ds:datastoreItem xmlns:ds="http://schemas.openxmlformats.org/officeDocument/2006/customXml" ds:itemID="{02CAB16F-8BF7-49C6-AFED-324E7A8F8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acaf92-07af-45b4-83ba-27001d091bc8"/>
    <ds:schemaRef ds:uri="7fd21147-7a3e-446c-852f-28e3a1d96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2F3820-F2EC-414A-A3E4-8FFD124C5A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3B731-D877-48C4-9E3E-6CF0EEB5DC4C}">
  <ds:schemaRefs>
    <ds:schemaRef ds:uri="http://purl.org/dc/dcmitype/"/>
    <ds:schemaRef ds:uri="7fd21147-7a3e-446c-852f-28e3a1d96af8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2acaf92-07af-45b4-83ba-27001d091bc8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8ead07ce-019c-4fbf-ab86-ed7b5468324a}" enabled="1" method="Standard" siteId="{bf048976-7110-4e87-96f3-c6744908b8b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PnL</vt:lpstr>
      <vt:lpstr>BS</vt:lpstr>
      <vt:lpstr>SoCF</vt:lpstr>
      <vt:lpstr>Operational details</vt:lpstr>
      <vt:lpstr>Landbank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Lau Fei Ling</dc:creator>
  <cp:lastModifiedBy>Nur Afiqah Zahir - UEMS</cp:lastModifiedBy>
  <dcterms:created xsi:type="dcterms:W3CDTF">2024-02-20T05:08:48Z</dcterms:created>
  <dcterms:modified xsi:type="dcterms:W3CDTF">2024-05-28T13:46:29Z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0x0101002BADC47D9A846D4789CB56C87B51C79D</vt:lpwstr>
  </property>
  <property fmtid="{D5CDD505-2E9C-101B-9397-08002B2CF9AE}" pid="3" name="MediaServiceImageTags">
    <vt:lpwstr/>
  </property>
</Properties>
</file>